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eating Load" sheetId="1" r:id="rId4"/>
    <sheet state="visible" name="Cooling Load electricity" sheetId="2" r:id="rId5"/>
    <sheet state="visible" name="Square Footage" sheetId="3" r:id="rId6"/>
    <sheet state="visible" name="FlowRate Temp" sheetId="4" r:id="rId7"/>
    <sheet state="visible" name="Loop Temperature Across Year" sheetId="5" r:id="rId8"/>
    <sheet state="visible" name="Heating Days Data" sheetId="6" r:id="rId9"/>
    <sheet state="visible" name="Sheet2" sheetId="7" r:id="rId10"/>
    <sheet state="visible" name="Sheet9" sheetId="8" r:id="rId11"/>
    <sheet state="visible" name="Sheet10" sheetId="9" r:id="rId12"/>
    <sheet state="visible" name="Final Calculations" sheetId="10" r:id="rId13"/>
    <sheet state="visible" name="Sources  To do" sheetId="11" r:id="rId14"/>
  </sheets>
  <definedNames/>
  <calcPr/>
  <extLst>
    <ext uri="GoogleSheetsCustomDataVersion1">
      <go:sheetsCustomData xmlns:go="http://customooxmlschemas.google.com/" r:id="rId15" roundtripDataSignature="AMtx7mj+qs4IBQffg7XGRyCsWTUBxWfFHA=="/>
    </ext>
  </extLst>
</workbook>
</file>

<file path=xl/sharedStrings.xml><?xml version="1.0" encoding="utf-8"?>
<sst xmlns="http://schemas.openxmlformats.org/spreadsheetml/2006/main" count="634" uniqueCount="326">
  <si>
    <t>Heating Requirements</t>
  </si>
  <si>
    <t>Approximate</t>
  </si>
  <si>
    <t>Total Sq Ft Campus</t>
  </si>
  <si>
    <t>Building</t>
  </si>
  <si>
    <t>sq ft</t>
  </si>
  <si>
    <t>-BTU/h Approx</t>
  </si>
  <si>
    <t>Ton</t>
  </si>
  <si>
    <t>Feet of Pipe</t>
  </si>
  <si>
    <t>GPM Flow</t>
  </si>
  <si>
    <t>Applied Technology</t>
  </si>
  <si>
    <t>Business</t>
  </si>
  <si>
    <t>Calice</t>
  </si>
  <si>
    <t>Child Care</t>
  </si>
  <si>
    <t>Total</t>
  </si>
  <si>
    <t>Ton/therm</t>
  </si>
  <si>
    <t>Loss BTU/h</t>
  </si>
  <si>
    <t>System for Calice</t>
  </si>
  <si>
    <t>System for Campus</t>
  </si>
  <si>
    <t>BTU/Ton</t>
  </si>
  <si>
    <t>Ton System</t>
  </si>
  <si>
    <t>Feet Pipe/ Ton</t>
  </si>
  <si>
    <t>Sq Ft</t>
  </si>
  <si>
    <t>16-23 BTU  per sq ft per hour loss</t>
  </si>
  <si>
    <t>Therm = Ton*hour</t>
  </si>
  <si>
    <t>Ton / Sqft</t>
  </si>
  <si>
    <t>150-200 FT of pipe per ton</t>
  </si>
  <si>
    <t>Therm/hour = Ton</t>
  </si>
  <si>
    <t>1 Ton requires 2GPM flow</t>
  </si>
  <si>
    <t>holes</t>
  </si>
  <si>
    <t>8" pipe ~950 GPM Flow</t>
  </si>
  <si>
    <t>depth</t>
  </si>
  <si>
    <t>feet pipe</t>
  </si>
  <si>
    <t>ft/sqft</t>
  </si>
  <si>
    <t>miles of pipe</t>
  </si>
  <si>
    <t>W / ft of pipe</t>
  </si>
  <si>
    <t>2016 Therms</t>
  </si>
  <si>
    <t>W</t>
  </si>
  <si>
    <t>2017 Therms</t>
  </si>
  <si>
    <t>Wells in hexagon shape</t>
  </si>
  <si>
    <t>MW</t>
  </si>
  <si>
    <t>2018 Therms</t>
  </si>
  <si>
    <t>Closer to bedrock closer to mountain</t>
  </si>
  <si>
    <t>Average Therms</t>
  </si>
  <si>
    <t>Location of wells</t>
  </si>
  <si>
    <t>Total Ton</t>
  </si>
  <si>
    <t>Vertical slice of ground conditions under campus</t>
  </si>
  <si>
    <t>Average YearlyTonHours</t>
  </si>
  <si>
    <t>Winter Month Therms</t>
  </si>
  <si>
    <t>Date</t>
  </si>
  <si>
    <t>Days</t>
  </si>
  <si>
    <t>Therm</t>
  </si>
  <si>
    <t>Therm Factor</t>
  </si>
  <si>
    <t>Total Therm</t>
  </si>
  <si>
    <t>Therms/day</t>
  </si>
  <si>
    <t>Therms/Hour</t>
  </si>
  <si>
    <t>Therm Loss/ Hour</t>
  </si>
  <si>
    <t>∆T = ft^2 / R-Value Solve R</t>
  </si>
  <si>
    <t>Read</t>
  </si>
  <si>
    <t>On-Peak</t>
  </si>
  <si>
    <t>Off-Peak</t>
  </si>
  <si>
    <t>Reactive</t>
  </si>
  <si>
    <t>Total Usage</t>
  </si>
  <si>
    <t>Power</t>
  </si>
  <si>
    <t>Load</t>
  </si>
  <si>
    <t>Total Cost</t>
  </si>
  <si>
    <t>Cost/kWh</t>
  </si>
  <si>
    <t>Usage/Day</t>
  </si>
  <si>
    <t>NYSEG Delivery</t>
  </si>
  <si>
    <t>NYSEG Supply</t>
  </si>
  <si>
    <t>Active Days</t>
  </si>
  <si>
    <t>Usage (kWh)</t>
  </si>
  <si>
    <t xml:space="preserve">Total </t>
  </si>
  <si>
    <t>(RKVAH)</t>
  </si>
  <si>
    <t>(kWh)</t>
  </si>
  <si>
    <t>Factor</t>
  </si>
  <si>
    <t>($)</t>
  </si>
  <si>
    <t>Charges ($)</t>
  </si>
  <si>
    <t>Rate ($/kWh)</t>
  </si>
  <si>
    <t>TOTAL</t>
  </si>
  <si>
    <t>Area</t>
  </si>
  <si>
    <t>%sq area</t>
  </si>
  <si>
    <t>Energy Consumption (kWh)</t>
  </si>
  <si>
    <t>Convert KWh to BTU</t>
  </si>
  <si>
    <t>Year of Const / Reno</t>
  </si>
  <si>
    <t>Efficiency Coefficient</t>
  </si>
  <si>
    <t>Efficiency (Now)</t>
  </si>
  <si>
    <t xml:space="preserve">Efficiency (geo) </t>
  </si>
  <si>
    <t>BC Center (Child Care)</t>
  </si>
  <si>
    <t>Calice Advanced Manuf</t>
  </si>
  <si>
    <t>Campus Services</t>
  </si>
  <si>
    <t>Decker Health</t>
  </si>
  <si>
    <t>Ice Center</t>
  </si>
  <si>
    <t>Library</t>
  </si>
  <si>
    <t>Natural Science (estim)</t>
  </si>
  <si>
    <t>Old Science</t>
  </si>
  <si>
    <t>Public Safety</t>
  </si>
  <si>
    <t>Student Center</t>
  </si>
  <si>
    <t>Student Services</t>
  </si>
  <si>
    <t>Titchener Hall</t>
  </si>
  <si>
    <t>Wales Center</t>
  </si>
  <si>
    <t>Electric consumption (MWh) 2017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</si>
  <si>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</si>
  <si>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</si>
  <si>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</si>
  <si>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</si>
  <si>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</si>
  <si>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</si>
  <si>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</si>
  <si>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</si>
  <si>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</si>
  <si>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</si>
  <si>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</si>
  <si>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</si>
  <si>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Space Cooling</t>
  </si>
  <si>
    <t>Heat Rejection</t>
  </si>
  <si>
    <t>Refrigeration</t>
  </si>
  <si>
    <t>Space Heating</t>
  </si>
  <si>
    <t xml:space="preserve">Heat Pump Supp. </t>
  </si>
  <si>
    <t>Hot Water</t>
  </si>
  <si>
    <t>Vent Fans</t>
  </si>
  <si>
    <t xml:space="preserve">Pumps and Aux. </t>
  </si>
  <si>
    <t>Geothermal Pumnps</t>
  </si>
  <si>
    <t>Exterior Usage</t>
  </si>
  <si>
    <t>Misc Equipment (Ice Maker)</t>
  </si>
  <si>
    <t>Task Lighting</t>
  </si>
  <si>
    <t>Area Lighting</t>
  </si>
  <si>
    <t>Square Ft of Bore Area</t>
  </si>
  <si>
    <t>m2</t>
  </si>
  <si>
    <t>m2/100</t>
  </si>
  <si>
    <t>Spacing Feet</t>
  </si>
  <si>
    <t>Spacing (m)</t>
  </si>
  <si>
    <t>BPZ Hexagon Layout</t>
  </si>
  <si>
    <t xml:space="preserve">Zone A (Back Creek) </t>
  </si>
  <si>
    <t>Calice System</t>
  </si>
  <si>
    <t>Zone B (Back Parking)</t>
  </si>
  <si>
    <t>Zone C (Alumni Field)</t>
  </si>
  <si>
    <t>Zone D (Science Parking Lot)</t>
  </si>
  <si>
    <t>Baseball Field</t>
  </si>
  <si>
    <t>Quad Remaining</t>
  </si>
  <si>
    <t>Sum</t>
  </si>
  <si>
    <t>https://www.engineeringtoolbox.com/circles-within-rectangle-d_1905.html</t>
  </si>
  <si>
    <t>Total Potential Bores</t>
  </si>
  <si>
    <t>Whole Campus Area</t>
  </si>
  <si>
    <t>Sq ft</t>
  </si>
  <si>
    <t>Proposed Geothermal Sites</t>
  </si>
  <si>
    <t>Percent Campus</t>
  </si>
  <si>
    <t>Summer Temp</t>
  </si>
  <si>
    <t>KW</t>
  </si>
  <si>
    <t>Q (KJ/S)</t>
  </si>
  <si>
    <t>m (GPM)</t>
  </si>
  <si>
    <t>m (KG/S)</t>
  </si>
  <si>
    <t>c (KJ/KG C)</t>
  </si>
  <si>
    <t>T1 (F) Supply</t>
  </si>
  <si>
    <t>T1(C)</t>
  </si>
  <si>
    <t>T2 (C)</t>
  </si>
  <si>
    <t>T2 (F) Return</t>
  </si>
  <si>
    <t>Delta T (F)</t>
  </si>
  <si>
    <t>Ground Temp Summer</t>
  </si>
  <si>
    <t>8" pipe for summer</t>
  </si>
  <si>
    <t>Winter Temp</t>
  </si>
  <si>
    <t>MWh</t>
  </si>
  <si>
    <t>Ground Temp Winter</t>
  </si>
  <si>
    <t>10" pipe for winter</t>
  </si>
  <si>
    <t>10" pipe</t>
  </si>
  <si>
    <t>https://inventory.powerzone.com/item/56946/used-sulzer-bingham-8x10x125-cp-d-horizontal-multi-stage-centrifugal-pump-complete-pump</t>
  </si>
  <si>
    <t>10" Pipe</t>
  </si>
  <si>
    <t>cooling Data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</si>
  <si>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</si>
  <si>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</si>
  <si>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</si>
  <si>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</si>
  <si>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</si>
  <si>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</si>
  <si>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</si>
  <si>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</si>
  <si>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</si>
  <si>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</si>
  <si>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</si>
  <si>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Loop Temp Modelled With 50F</t>
  </si>
  <si>
    <t>Ground Exchange</t>
  </si>
  <si>
    <t>Ice Rink</t>
  </si>
  <si>
    <t>Space Heating (Electric MWh)</t>
  </si>
  <si>
    <t>All Gas Usage</t>
  </si>
  <si>
    <t>Sum MWh</t>
  </si>
  <si>
    <t>Loop Temp Modelled with 60F</t>
  </si>
  <si>
    <t>Ground Exchange (MWh)</t>
  </si>
  <si>
    <t>Month</t>
  </si>
  <si>
    <t>http://www.heat-balance.com/</t>
  </si>
  <si>
    <t>Month Number</t>
  </si>
  <si>
    <t>Energy Consumption</t>
  </si>
  <si>
    <t>Demand</t>
  </si>
  <si>
    <t>Dew Point</t>
  </si>
  <si>
    <t>Rel H (%)</t>
  </si>
  <si>
    <t>Wet Bulb (°F)</t>
  </si>
  <si>
    <t>Enthalpy (BTU/lbm)</t>
  </si>
  <si>
    <t>Average Loop Temp (F)</t>
  </si>
  <si>
    <t>Cooling (MWh)</t>
  </si>
  <si>
    <t>Heating (MMBTU)</t>
  </si>
  <si>
    <t xml:space="preserve">Cooling </t>
  </si>
  <si>
    <t>COP</t>
  </si>
  <si>
    <t>65-70</t>
  </si>
  <si>
    <t>70-75</t>
  </si>
  <si>
    <t>75-80</t>
  </si>
  <si>
    <t>80-85</t>
  </si>
  <si>
    <t>85-90</t>
  </si>
  <si>
    <t>90-95</t>
  </si>
  <si>
    <t>60-65</t>
  </si>
  <si>
    <t>55-60</t>
  </si>
  <si>
    <t>50-55</t>
  </si>
  <si>
    <t>5-10</t>
  </si>
  <si>
    <t>45-50</t>
  </si>
  <si>
    <t>40-45</t>
  </si>
  <si>
    <t>35-40</t>
  </si>
  <si>
    <t>30-35</t>
  </si>
  <si>
    <t>25-30</t>
  </si>
  <si>
    <t>20-25</t>
  </si>
  <si>
    <t>15-20</t>
  </si>
  <si>
    <t>10-15</t>
  </si>
  <si>
    <t>0-5</t>
  </si>
  <si>
    <t>-5-10</t>
  </si>
  <si>
    <t>-5-0</t>
  </si>
  <si>
    <t>Column1</t>
  </si>
  <si>
    <t>Average</t>
  </si>
  <si>
    <t>EER</t>
  </si>
  <si>
    <t>Weighted Mean</t>
  </si>
  <si>
    <t>Weighted St. Dev.</t>
  </si>
  <si>
    <t>Average loop Temp</t>
  </si>
  <si>
    <t>We have taken the weighted mean of the hours each month at a given temp range and averaged that with the year-round ground temp of 50 deg to calculate the weighted avg. loop temperature per month. This is the EWT</t>
  </si>
  <si>
    <t>Conversions</t>
  </si>
  <si>
    <t>Units</t>
  </si>
  <si>
    <t>Heating Demand</t>
  </si>
  <si>
    <t>Therms</t>
  </si>
  <si>
    <t>BTU</t>
  </si>
  <si>
    <t>Total Heating Demand</t>
  </si>
  <si>
    <t>Cooling Demand</t>
  </si>
  <si>
    <t>Btu to MMbtu</t>
  </si>
  <si>
    <t>MMBTU to MWh</t>
  </si>
  <si>
    <t>Btu to MWh</t>
  </si>
  <si>
    <t>CO2 120Lb/ MMBTU</t>
  </si>
  <si>
    <t>Tons Co2</t>
  </si>
  <si>
    <t>Electricity growth rate</t>
  </si>
  <si>
    <t>lbs of CO2/MMbtu</t>
  </si>
  <si>
    <t>Lbs</t>
  </si>
  <si>
    <t>Target Temp 71F (Indoors)</t>
  </si>
  <si>
    <t>C</t>
  </si>
  <si>
    <t xml:space="preserve">COP </t>
  </si>
  <si>
    <t>Cooling (COP)</t>
  </si>
  <si>
    <t>Heating (COP)</t>
  </si>
  <si>
    <t>Mean COP Values</t>
  </si>
  <si>
    <t>Delta 10 degree COP values</t>
  </si>
  <si>
    <t>Existing System</t>
  </si>
  <si>
    <t>COP heating ratio</t>
  </si>
  <si>
    <t>Cooling COP Ratio</t>
  </si>
  <si>
    <t>AirSource Heat Pump COP(35C)</t>
  </si>
  <si>
    <t>Heating COP of Geo</t>
  </si>
  <si>
    <t>Geothermal</t>
  </si>
  <si>
    <t>Cooling COP Of Geo</t>
  </si>
  <si>
    <t>Airsource</t>
  </si>
  <si>
    <t>Heating COP of existing Gas</t>
  </si>
  <si>
    <t>Nominal Room Temp</t>
  </si>
  <si>
    <t>22C</t>
  </si>
  <si>
    <t>Cooling cop of existing AC</t>
  </si>
  <si>
    <t>Heating Demand Per Month (2017)</t>
  </si>
  <si>
    <t>Average Temp (F)</t>
  </si>
  <si>
    <t>Average Temp (C)</t>
  </si>
  <si>
    <t>Delta T(C)</t>
  </si>
  <si>
    <t>COP (heating) (update values later)</t>
  </si>
  <si>
    <t>COP (Cooling) (update values later)</t>
  </si>
  <si>
    <t>Air source COP Heating</t>
  </si>
  <si>
    <t>Air Source COP Cooling</t>
  </si>
  <si>
    <t>MMBTU NatGas</t>
  </si>
  <si>
    <t>MMBTU Geothermal</t>
  </si>
  <si>
    <t>Tons CO2 eq</t>
  </si>
  <si>
    <t>Electricity Increase (MWh)</t>
  </si>
  <si>
    <t>Therms to MWh (MWh)</t>
  </si>
  <si>
    <t>Current MMBTU Per Building</t>
  </si>
  <si>
    <t>Proposed MMBTU Per Building</t>
  </si>
  <si>
    <t>graph of yearly delta gas vs electricity</t>
  </si>
  <si>
    <t>massive reduction of natgas and increase of electricity</t>
  </si>
  <si>
    <t>Geothermal vs Airsource (Delta 10C)</t>
  </si>
  <si>
    <t>airsorce wins</t>
  </si>
  <si>
    <t>to plot airsource use COP at ambient temp data</t>
  </si>
  <si>
    <t>Geothermal vs Airsource (Delta 20C)</t>
  </si>
  <si>
    <t>airsource wins</t>
  </si>
  <si>
    <t>Find cop that supports our data</t>
  </si>
  <si>
    <t>Geothermal vs Airsource (Delta 30C)</t>
  </si>
  <si>
    <t>geo wins</t>
  </si>
  <si>
    <t>we hope</t>
  </si>
  <si>
    <t>plot airsoruce vs geothermal</t>
  </si>
  <si>
    <t>Geothermal vs Airsource (Delta 40C)</t>
  </si>
  <si>
    <t>Geo thermal has smaller delta because ground is warmer</t>
  </si>
  <si>
    <t>geothermal is capped at delta because ground water never freezes</t>
  </si>
  <si>
    <t>BTU Required per building by Month</t>
  </si>
  <si>
    <t>BTU Geothermal</t>
  </si>
  <si>
    <t>Current MMBTU</t>
  </si>
  <si>
    <t>Geothermal MMBTU</t>
  </si>
  <si>
    <t>ASHP MMBTU</t>
  </si>
  <si>
    <t>Current Cooling Demand Per Month (2017)</t>
  </si>
  <si>
    <t>hours</t>
  </si>
  <si>
    <t>Average Ambient Temp</t>
  </si>
  <si>
    <t>Delta T</t>
  </si>
  <si>
    <t>Current BTU</t>
  </si>
  <si>
    <t>Geothermal BTU</t>
  </si>
  <si>
    <t>Net Savings</t>
  </si>
  <si>
    <t>Cost per KWh (c)</t>
  </si>
  <si>
    <t>Cost per MWh</t>
  </si>
  <si>
    <t>Cooling (MBTU)</t>
  </si>
  <si>
    <t>Proposed</t>
  </si>
  <si>
    <t>OfFset (MWh)</t>
  </si>
  <si>
    <t>Offset (MMBTU)</t>
  </si>
  <si>
    <t>-10--5</t>
  </si>
  <si>
    <t>Total MMBTU (Proposed)</t>
  </si>
  <si>
    <t>Proposed Therm consumption</t>
  </si>
  <si>
    <t>THerm (Current)</t>
  </si>
  <si>
    <t>Sources</t>
  </si>
  <si>
    <t>https://www.nyiso.com/documents/20142/2223020/2018-Power-Trends.pdf/4cd3a2a6-838a-bb54-f631-8982a7bdfa7a</t>
  </si>
  <si>
    <t>Air source COP at ambient temps</t>
  </si>
  <si>
    <t>https://www.researchgate.net/figure/COP-of-the-heat-pump-at-different-ambient-air-temperatures-for-condenser-outlet_fig7_272093420</t>
  </si>
  <si>
    <t>geothermal COP  values</t>
  </si>
  <si>
    <t>https://www.pickhvac.com/faq/heat-pump-cop/</t>
  </si>
  <si>
    <t>NYS Cost of elec</t>
  </si>
  <si>
    <t>https://www.nyserda.ny.gov/Researchers-and-Policymakers/Energy-Prices/Electricity/Monthly-Avg-Electricity-Residential</t>
  </si>
  <si>
    <t>Mistubishi air source</t>
  </si>
  <si>
    <t>https://www.mitsubishipro.com/pdfs/m-series-catalog.pdf</t>
  </si>
  <si>
    <t>Entering Water Temperture Chart</t>
  </si>
  <si>
    <t>https://www.researchgate.net/publication/314106888_Nanocomposite_Materials_Used_for_Ground_Heat_Exchanger_Pipes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</si>
</sst>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/d/yy"/>
    <numFmt numFmtId="165" formatCode="&quot;$&quot;#,##0.00"/>
    <numFmt numFmtId="166" formatCode="&quot;$&quot;#,##0"/>
    <numFmt numFmtId="167" formatCode="0.000"/>
    <numFmt numFmtId="168" formatCode="#,##0.0"/>
    <numFmt numFmtId="169" formatCode="0.0000"/>
    <numFmt numFmtId="170" formatCode="m-d"/>
    <numFmt numFmtId="171" formatCode="0.0"/>
  </numFmts>
  <fonts count="32">
    <font>
      <sz val="11.0"/>
      <color theme="1"/>
      <name val="Arial"/>
    </font>
    <font>
      <color theme="1"/>
      <name val="Calibri"/>
    </font>
    <font>
      <b/>
      <sz val="9.0"/>
      <color theme="1"/>
      <name val="Arial"/>
    </font>
    <font>
      <sz val="11.0"/>
      <color theme="1"/>
      <name val="Calibri"/>
    </font>
    <font>
      <sz val="11.0"/>
      <color rgb="FF9C5700"/>
      <name val="Calibri"/>
    </font>
    <font>
      <sz val="11.0"/>
      <color rgb="FF000000"/>
    </font>
    <font>
      <sz val="11.0"/>
      <color rgb="FF000000"/>
      <name val="Calibri"/>
    </font>
    <font>
      <color rgb="FF000000"/>
      <name val="Roboto"/>
    </font>
    <font>
      <b/>
      <sz val="12.0"/>
      <color rgb="FF000000"/>
      <name val="Arial"/>
    </font>
    <font>
      <sz val="12.0"/>
      <color rgb="FF000000"/>
      <name val="Swiss"/>
    </font>
    <font>
      <b/>
      <color rgb="FF000000"/>
      <name val="Arial"/>
    </font>
    <font/>
    <font>
      <b/>
      <sz val="12.0"/>
      <color rgb="FF000000"/>
      <name val="Swiss"/>
    </font>
    <font>
      <sz val="12.0"/>
      <color rgb="FF000000"/>
      <name val="Arial"/>
    </font>
    <font>
      <b/>
      <sz val="14.0"/>
      <color rgb="FF000000"/>
      <name val="Arial"/>
    </font>
    <font>
      <b/>
      <sz val="9.0"/>
      <color rgb="FF222222"/>
      <name val="Arial"/>
    </font>
    <font>
      <sz val="9.0"/>
      <color rgb="FF222222"/>
      <name val="Arial"/>
    </font>
    <font>
      <sz val="9.0"/>
      <color rgb="FFFF0000"/>
      <name val="Arial"/>
    </font>
    <font>
      <b/>
      <color theme="1"/>
      <name val="Calibri"/>
    </font>
    <font>
      <u/>
      <color rgb="FF0000FF"/>
    </font>
    <font>
      <sz val="11.0"/>
      <color rgb="FF000000"/>
      <name val="Inconsolata"/>
    </font>
    <font>
      <sz val="11.0"/>
      <color rgb="FF7E3794"/>
      <name val="Inconsolata"/>
    </font>
    <font>
      <sz val="11.0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theme="1"/>
      <name val="Inconsolata"/>
    </font>
    <font>
      <b/>
      <sz val="12.0"/>
      <color theme="1"/>
      <name val="Calibri"/>
    </font>
    <font>
      <sz val="12.0"/>
      <color theme="1"/>
      <name val="Arial"/>
    </font>
    <font>
      <b/>
      <sz val="11.0"/>
      <color theme="1"/>
      <name val="Inconsolata"/>
    </font>
    <font>
      <b/>
      <sz val="11.0"/>
      <name val="Calibri"/>
    </font>
    <font>
      <b/>
    </font>
    <font>
      <u/>
      <color rgb="FF0563C1"/>
    </font>
  </fonts>
  <fills count="17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</fills>
  <borders count="15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3" xfId="0" applyAlignment="1" applyFont="1" applyNumberFormat="1">
      <alignment horizontal="right" vertical="center"/>
    </xf>
    <xf quotePrefix="1" borderId="0" fillId="0" fontId="3" numFmtId="0" xfId="0" applyFont="1"/>
    <xf borderId="1" fillId="2" fontId="4" numFmtId="0" xfId="0" applyBorder="1" applyFill="1" applyFont="1"/>
    <xf borderId="0" fillId="0" fontId="1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0" fillId="0" fontId="6" numFmtId="3" xfId="0" applyAlignment="1" applyFont="1" applyNumberFormat="1">
      <alignment horizontal="right" vertical="center"/>
    </xf>
    <xf borderId="0" fillId="0" fontId="6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3" fontId="7" numFmtId="0" xfId="0" applyAlignment="1" applyFill="1" applyFont="1">
      <alignment readingOrder="0"/>
    </xf>
    <xf borderId="0" fillId="0" fontId="3" numFmtId="14" xfId="0" applyFont="1" applyNumberFormat="1"/>
    <xf borderId="0" fillId="0" fontId="3" numFmtId="3" xfId="0" applyFont="1" applyNumberFormat="1"/>
    <xf borderId="0" fillId="0" fontId="3" numFmtId="4" xfId="0" applyFont="1" applyNumberFormat="1"/>
    <xf borderId="0" fillId="0" fontId="3" numFmtId="0" xfId="0" applyFont="1"/>
    <xf borderId="2" fillId="4" fontId="8" numFmtId="0" xfId="0" applyAlignment="1" applyBorder="1" applyFill="1" applyFont="1">
      <alignment horizontal="center" readingOrder="0" shrinkToFit="0" wrapText="0"/>
    </xf>
    <xf borderId="2" fillId="4" fontId="8" numFmtId="0" xfId="0" applyAlignment="1" applyBorder="1" applyFont="1">
      <alignment shrinkToFit="0" wrapText="0"/>
    </xf>
    <xf borderId="3" fillId="4" fontId="8" numFmtId="0" xfId="0" applyAlignment="1" applyBorder="1" applyFont="1">
      <alignment horizontal="center" readingOrder="0" shrinkToFit="0" wrapText="0"/>
    </xf>
    <xf borderId="0" fillId="0" fontId="9" numFmtId="0" xfId="0" applyAlignment="1" applyFont="1">
      <alignment shrinkToFit="0" wrapText="0"/>
    </xf>
    <xf borderId="4" fillId="5" fontId="10" numFmtId="0" xfId="0" applyAlignment="1" applyBorder="1" applyFill="1" applyFont="1">
      <alignment horizontal="center" readingOrder="0" shrinkToFit="0" wrapText="0"/>
    </xf>
    <xf borderId="5" fillId="0" fontId="11" numFmtId="0" xfId="0" applyBorder="1" applyFont="1"/>
    <xf borderId="6" fillId="5" fontId="10" numFmtId="0" xfId="0" applyAlignment="1" applyBorder="1" applyFont="1">
      <alignment horizontal="center" readingOrder="0" shrinkToFit="0" wrapText="0"/>
    </xf>
    <xf borderId="7" fillId="4" fontId="8" numFmtId="0" xfId="0" applyAlignment="1" applyBorder="1" applyFont="1">
      <alignment horizontal="center" readingOrder="0" shrinkToFit="0" wrapText="0"/>
    </xf>
    <xf borderId="8" fillId="4" fontId="8" numFmtId="0" xfId="0" applyAlignment="1" applyBorder="1" applyFont="1">
      <alignment horizontal="center" readingOrder="0" shrinkToFit="0" wrapText="0"/>
    </xf>
    <xf borderId="8" fillId="4" fontId="12" numFmtId="0" xfId="0" applyAlignment="1" applyBorder="1" applyFont="1">
      <alignment horizontal="center" readingOrder="0" shrinkToFit="0" wrapText="0"/>
    </xf>
    <xf borderId="9" fillId="4" fontId="12" numFmtId="0" xfId="0" applyAlignment="1" applyBorder="1" applyFont="1">
      <alignment horizontal="center" readingOrder="0" shrinkToFit="0" wrapText="0"/>
    </xf>
    <xf borderId="2" fillId="0" fontId="13" numFmtId="164" xfId="0" applyAlignment="1" applyBorder="1" applyFont="1" applyNumberFormat="1">
      <alignment horizontal="center" readingOrder="0" shrinkToFit="0" wrapText="0"/>
    </xf>
    <xf borderId="2" fillId="0" fontId="13" numFmtId="0" xfId="0" applyAlignment="1" applyBorder="1" applyFont="1">
      <alignment horizontal="center" readingOrder="0" shrinkToFit="0" wrapText="0"/>
    </xf>
    <xf borderId="2" fillId="0" fontId="13" numFmtId="3" xfId="0" applyAlignment="1" applyBorder="1" applyFont="1" applyNumberFormat="1">
      <alignment horizontal="center" readingOrder="0" shrinkToFit="0" wrapText="0"/>
    </xf>
    <xf borderId="2" fillId="0" fontId="13" numFmtId="4" xfId="0" applyAlignment="1" applyBorder="1" applyFont="1" applyNumberFormat="1">
      <alignment horizontal="center" readingOrder="0" shrinkToFit="0" wrapText="0"/>
    </xf>
    <xf borderId="7" fillId="0" fontId="13" numFmtId="0" xfId="0" applyAlignment="1" applyBorder="1" applyFont="1">
      <alignment horizontal="center" readingOrder="0" shrinkToFit="0" wrapText="0"/>
    </xf>
    <xf borderId="2" fillId="0" fontId="13" numFmtId="165" xfId="0" applyAlignment="1" applyBorder="1" applyFont="1" applyNumberFormat="1">
      <alignment horizontal="center" readingOrder="0" shrinkToFit="0" wrapText="0"/>
    </xf>
    <xf borderId="3" fillId="0" fontId="13" numFmtId="3" xfId="0" applyAlignment="1" applyBorder="1" applyFont="1" applyNumberFormat="1">
      <alignment horizontal="center" readingOrder="0" shrinkToFit="0" wrapText="0"/>
    </xf>
    <xf borderId="0" fillId="0" fontId="9" numFmtId="0" xfId="0" applyAlignment="1" applyFont="1">
      <alignment horizontal="center" shrinkToFit="0" wrapText="0"/>
    </xf>
    <xf borderId="10" fillId="0" fontId="13" numFmtId="165" xfId="0" applyAlignment="1" applyBorder="1" applyFont="1" applyNumberFormat="1">
      <alignment horizontal="center" readingOrder="0" shrinkToFit="0" wrapText="0"/>
    </xf>
    <xf borderId="11" fillId="0" fontId="9" numFmtId="165" xfId="0" applyAlignment="1" applyBorder="1" applyFont="1" applyNumberFormat="1">
      <alignment horizontal="center" readingOrder="0" shrinkToFit="0" wrapText="0"/>
    </xf>
    <xf borderId="0" fillId="0" fontId="9" numFmtId="165" xfId="0" applyAlignment="1" applyFont="1" applyNumberFormat="1">
      <alignment horizontal="center" readingOrder="0" shrinkToFit="0" wrapText="0"/>
    </xf>
    <xf borderId="10" fillId="0" fontId="9" numFmtId="165" xfId="0" applyAlignment="1" applyBorder="1" applyFont="1" applyNumberFormat="1">
      <alignment horizontal="center" readingOrder="0" shrinkToFit="0" wrapText="0"/>
    </xf>
    <xf borderId="7" fillId="0" fontId="13" numFmtId="164" xfId="0" applyAlignment="1" applyBorder="1" applyFont="1" applyNumberFormat="1">
      <alignment horizontal="center" readingOrder="0" shrinkToFit="0" wrapText="0"/>
    </xf>
    <xf borderId="7" fillId="0" fontId="13" numFmtId="3" xfId="0" applyAlignment="1" applyBorder="1" applyFont="1" applyNumberFormat="1">
      <alignment horizontal="center" readingOrder="0" shrinkToFit="0" wrapText="0"/>
    </xf>
    <xf borderId="7" fillId="0" fontId="13" numFmtId="4" xfId="0" applyAlignment="1" applyBorder="1" applyFont="1" applyNumberFormat="1">
      <alignment horizontal="center" readingOrder="0" shrinkToFit="0" wrapText="0"/>
    </xf>
    <xf borderId="7" fillId="0" fontId="13" numFmtId="165" xfId="0" applyAlignment="1" applyBorder="1" applyFont="1" applyNumberFormat="1">
      <alignment horizontal="center" readingOrder="0" shrinkToFit="0" wrapText="0"/>
    </xf>
    <xf borderId="10" fillId="0" fontId="13" numFmtId="3" xfId="0" applyAlignment="1" applyBorder="1" applyFont="1" applyNumberFormat="1">
      <alignment horizontal="center" readingOrder="0" shrinkToFit="0" wrapText="0"/>
    </xf>
    <xf borderId="7" fillId="6" fontId="13" numFmtId="4" xfId="0" applyAlignment="1" applyBorder="1" applyFill="1" applyFont="1" applyNumberFormat="1">
      <alignment horizontal="center" readingOrder="0" shrinkToFit="0" wrapText="0"/>
    </xf>
    <xf borderId="7" fillId="0" fontId="13" numFmtId="0" xfId="0" applyAlignment="1" applyBorder="1" applyFont="1">
      <alignment horizontal="center" shrinkToFit="0" wrapText="0"/>
    </xf>
    <xf borderId="4" fillId="4" fontId="14" numFmtId="0" xfId="0" applyAlignment="1" applyBorder="1" applyFont="1">
      <alignment horizontal="center" readingOrder="0" shrinkToFit="0" wrapText="0"/>
    </xf>
    <xf borderId="4" fillId="4" fontId="14" numFmtId="3" xfId="0" applyAlignment="1" applyBorder="1" applyFont="1" applyNumberFormat="1">
      <alignment horizontal="center" readingOrder="0" shrinkToFit="0" wrapText="0"/>
    </xf>
    <xf borderId="4" fillId="4" fontId="14" numFmtId="4" xfId="0" applyAlignment="1" applyBorder="1" applyFont="1" applyNumberFormat="1">
      <alignment horizontal="center" readingOrder="0" shrinkToFit="0" wrapText="0"/>
    </xf>
    <xf borderId="12" fillId="4" fontId="14" numFmtId="0" xfId="0" applyAlignment="1" applyBorder="1" applyFont="1">
      <alignment horizontal="center" readingOrder="0" shrinkToFit="0" wrapText="0"/>
    </xf>
    <xf borderId="6" fillId="4" fontId="14" numFmtId="0" xfId="0" applyAlignment="1" applyBorder="1" applyFont="1">
      <alignment horizontal="center" readingOrder="0" shrinkToFit="0" wrapText="0"/>
    </xf>
    <xf borderId="4" fillId="4" fontId="14" numFmtId="165" xfId="0" applyAlignment="1" applyBorder="1" applyFont="1" applyNumberFormat="1">
      <alignment horizontal="center" readingOrder="0" shrinkToFit="0" wrapText="0"/>
    </xf>
    <xf borderId="12" fillId="4" fontId="14" numFmtId="3" xfId="0" applyAlignment="1" applyBorder="1" applyFont="1" applyNumberFormat="1">
      <alignment horizontal="center" readingOrder="0" shrinkToFit="0" wrapText="0"/>
    </xf>
    <xf borderId="12" fillId="4" fontId="14" numFmtId="166" xfId="0" applyAlignment="1" applyBorder="1" applyFont="1" applyNumberFormat="1">
      <alignment horizontal="center" readingOrder="0" shrinkToFit="0" wrapText="0"/>
    </xf>
    <xf borderId="5" fillId="4" fontId="14" numFmtId="165" xfId="0" applyAlignment="1" applyBorder="1" applyFont="1" applyNumberFormat="1">
      <alignment horizontal="center" readingOrder="0" shrinkToFit="0" wrapText="0"/>
    </xf>
    <xf borderId="6" fillId="4" fontId="14" numFmtId="166" xfId="0" applyAlignment="1" applyBorder="1" applyFont="1" applyNumberFormat="1">
      <alignment horizontal="center" readingOrder="0" shrinkToFit="0" wrapText="0"/>
    </xf>
    <xf borderId="12" fillId="4" fontId="14" numFmtId="165" xfId="0" applyAlignment="1" applyBorder="1" applyFont="1" applyNumberFormat="1">
      <alignment horizontal="center" readingOrder="0" shrinkToFit="0" wrapText="0"/>
    </xf>
    <xf borderId="0" fillId="3" fontId="15" numFmtId="0" xfId="0" applyAlignment="1" applyFont="1">
      <alignment readingOrder="0" vertical="bottom"/>
    </xf>
    <xf borderId="0" fillId="3" fontId="15" numFmtId="0" xfId="0" applyAlignment="1" applyFont="1">
      <alignment horizontal="right" readingOrder="0" vertical="bottom"/>
    </xf>
    <xf borderId="0" fillId="3" fontId="16" numFmtId="0" xfId="0" applyAlignment="1" applyFont="1">
      <alignment readingOrder="0" vertical="bottom"/>
    </xf>
    <xf borderId="0" fillId="3" fontId="16" numFmtId="3" xfId="0" applyAlignment="1" applyFont="1" applyNumberFormat="1">
      <alignment horizontal="right" readingOrder="0" vertical="bottom"/>
    </xf>
    <xf borderId="0" fillId="0" fontId="1" numFmtId="10" xfId="0" applyFont="1" applyNumberFormat="1"/>
    <xf borderId="0" fillId="3" fontId="17" numFmtId="3" xfId="0" applyAlignment="1" applyFont="1" applyNumberFormat="1">
      <alignment horizontal="right" readingOrder="0" vertical="bottom"/>
    </xf>
    <xf borderId="13" fillId="3" fontId="16" numFmtId="0" xfId="0" applyAlignment="1" applyBorder="1" applyFont="1">
      <alignment readingOrder="0" vertical="bottom"/>
    </xf>
    <xf borderId="13" fillId="3" fontId="16" numFmtId="3" xfId="0" applyAlignment="1" applyBorder="1" applyFont="1" applyNumberFormat="1">
      <alignment horizontal="right" readingOrder="0" vertical="bottom"/>
    </xf>
    <xf borderId="0" fillId="0" fontId="1" numFmtId="3" xfId="0" applyFont="1" applyNumberFormat="1"/>
    <xf borderId="0" fillId="0" fontId="1" numFmtId="4" xfId="0" applyFont="1" applyNumberFormat="1"/>
    <xf borderId="0" fillId="0" fontId="18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18" numFmtId="4" xfId="0" applyFont="1" applyNumberFormat="1"/>
    <xf borderId="0" fillId="0" fontId="18" numFmtId="0" xfId="0" applyFont="1"/>
    <xf borderId="0" fillId="0" fontId="1" numFmtId="3" xfId="0" applyAlignment="1" applyFont="1" applyNumberFormat="1">
      <alignment readingOrder="0"/>
    </xf>
    <xf borderId="0" fillId="0" fontId="19" numFmtId="0" xfId="0" applyAlignment="1" applyFont="1">
      <alignment readingOrder="0"/>
    </xf>
    <xf borderId="0" fillId="0" fontId="1" numFmtId="2" xfId="0" applyFont="1" applyNumberFormat="1"/>
    <xf borderId="0" fillId="7" fontId="1" numFmtId="0" xfId="0" applyAlignment="1" applyFill="1" applyFont="1">
      <alignment readingOrder="0"/>
    </xf>
    <xf borderId="0" fillId="7" fontId="1" numFmtId="2" xfId="0" applyFont="1" applyNumberFormat="1"/>
    <xf borderId="0" fillId="7" fontId="1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2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3" numFmtId="0" xfId="0" applyFont="1"/>
    <xf borderId="0" fillId="3" fontId="20" numFmtId="0" xfId="0" applyAlignment="1" applyFont="1">
      <alignment readingOrder="0"/>
    </xf>
    <xf borderId="0" fillId="3" fontId="21" numFmtId="0" xfId="0" applyFont="1"/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readingOrder="0" shrinkToFit="0" wrapText="0"/>
    </xf>
    <xf borderId="12" fillId="0" fontId="3" numFmtId="0" xfId="0" applyAlignment="1" applyBorder="1" applyFont="1">
      <alignment vertical="bottom"/>
    </xf>
    <xf borderId="12" fillId="0" fontId="3" numFmtId="0" xfId="0" applyBorder="1" applyFont="1"/>
    <xf borderId="12" fillId="0" fontId="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horizontal="center"/>
    </xf>
    <xf borderId="12" fillId="8" fontId="3" numFmtId="0" xfId="0" applyAlignment="1" applyBorder="1" applyFill="1" applyFont="1">
      <alignment horizontal="center" readingOrder="0"/>
    </xf>
    <xf borderId="0" fillId="0" fontId="3" numFmtId="167" xfId="0" applyAlignment="1" applyFont="1" applyNumberFormat="1">
      <alignment horizontal="center" readingOrder="0"/>
    </xf>
    <xf borderId="0" fillId="0" fontId="3" numFmtId="0" xfId="0" applyAlignment="1" applyFont="1">
      <alignment readingOrder="0" vertical="bottom"/>
    </xf>
    <xf borderId="0" fillId="0" fontId="3" numFmtId="167" xfId="0" applyAlignment="1" applyFont="1" applyNumberFormat="1">
      <alignment horizontal="center" readingOrder="0" vertical="bottom"/>
    </xf>
    <xf borderId="0" fillId="0" fontId="3" numFmtId="0" xfId="0" applyAlignment="1" applyFont="1">
      <alignment horizontal="center" readingOrder="0"/>
    </xf>
    <xf borderId="14" fillId="0" fontId="3" numFmtId="0" xfId="0" applyAlignment="1" applyBorder="1" applyFont="1">
      <alignment vertical="bottom"/>
    </xf>
    <xf borderId="12" fillId="0" fontId="3" numFmtId="0" xfId="0" applyAlignment="1" applyBorder="1" applyFont="1">
      <alignment readingOrder="0" shrinkToFit="0" vertical="bottom" wrapText="0"/>
    </xf>
    <xf borderId="14" fillId="0" fontId="3" numFmtId="4" xfId="0" applyAlignment="1" applyBorder="1" applyFont="1" applyNumberFormat="1">
      <alignment horizontal="right" readingOrder="0" shrinkToFit="0" vertical="bottom" wrapText="1"/>
    </xf>
    <xf borderId="14" fillId="0" fontId="3" numFmtId="0" xfId="0" applyAlignment="1" applyBorder="1" applyFont="1">
      <alignment horizontal="right" readingOrder="0" shrinkToFit="0" vertical="bottom" wrapText="1"/>
    </xf>
    <xf borderId="0" fillId="0" fontId="3" numFmtId="4" xfId="0" applyAlignment="1" applyFont="1" applyNumberFormat="1">
      <alignment horizontal="right" readingOrder="0" vertical="bottom"/>
    </xf>
    <xf borderId="12" fillId="9" fontId="3" numFmtId="0" xfId="0" applyAlignment="1" applyBorder="1" applyFill="1" applyFont="1">
      <alignment horizontal="center" readingOrder="0"/>
    </xf>
    <xf borderId="0" fillId="0" fontId="22" numFmtId="0" xfId="0" applyAlignment="1" applyFont="1">
      <alignment readingOrder="0" vertical="bottom"/>
    </xf>
    <xf borderId="0" fillId="0" fontId="22" numFmtId="0" xfId="0" applyAlignment="1" applyFont="1">
      <alignment vertical="bottom"/>
    </xf>
    <xf borderId="0" fillId="0" fontId="2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10" fontId="24" numFmtId="0" xfId="0" applyAlignment="1" applyFill="1" applyFont="1">
      <alignment vertical="bottom"/>
    </xf>
    <xf borderId="0" fillId="10" fontId="23" numFmtId="0" xfId="0" applyAlignment="1" applyFont="1">
      <alignment vertical="bottom"/>
    </xf>
    <xf borderId="0" fillId="10" fontId="3" numFmtId="0" xfId="0" applyAlignment="1" applyFont="1">
      <alignment vertical="bottom"/>
    </xf>
    <xf borderId="0" fillId="11" fontId="3" numFmtId="0" xfId="0" applyAlignment="1" applyFill="1" applyFont="1">
      <alignment vertical="bottom"/>
    </xf>
    <xf borderId="0" fillId="11" fontId="23" numFmtId="0" xfId="0" applyAlignment="1" applyFont="1">
      <alignment vertical="bottom"/>
    </xf>
    <xf borderId="0" fillId="11" fontId="3" numFmtId="0" xfId="0" applyAlignment="1" applyFont="1">
      <alignment horizontal="right" vertical="bottom"/>
    </xf>
    <xf borderId="0" fillId="0" fontId="23" numFmtId="4" xfId="0" applyAlignment="1" applyFont="1" applyNumberFormat="1">
      <alignment vertical="bottom"/>
    </xf>
    <xf borderId="0" fillId="11" fontId="25" numFmtId="0" xfId="0" applyAlignment="1" applyFont="1">
      <alignment horizontal="right" vertical="bottom"/>
    </xf>
    <xf borderId="0" fillId="11" fontId="3" numFmtId="49" xfId="0" applyAlignment="1" applyFont="1" applyNumberFormat="1">
      <alignment vertical="bottom"/>
    </xf>
    <xf borderId="0" fillId="11" fontId="23" numFmtId="49" xfId="0" applyAlignment="1" applyFont="1" applyNumberFormat="1">
      <alignment vertical="bottom"/>
    </xf>
    <xf borderId="0" fillId="10" fontId="24" numFmtId="0" xfId="0" applyAlignment="1" applyFont="1">
      <alignment readingOrder="0" vertical="bottom"/>
    </xf>
    <xf borderId="0" fillId="10" fontId="3" numFmtId="0" xfId="0" applyAlignment="1" applyFont="1">
      <alignment readingOrder="0" vertical="bottom"/>
    </xf>
    <xf borderId="0" fillId="11" fontId="3" numFmtId="0" xfId="0" applyAlignment="1" applyFont="1">
      <alignment readingOrder="0" vertical="bottom"/>
    </xf>
    <xf borderId="0" fillId="11" fontId="3" numFmtId="0" xfId="0" applyAlignment="1" applyFont="1">
      <alignment horizontal="right" readingOrder="0" vertical="bottom"/>
    </xf>
    <xf borderId="0" fillId="11" fontId="25" numFmtId="0" xfId="0" applyAlignment="1" applyFont="1">
      <alignment horizontal="right" readingOrder="0" vertical="bottom"/>
    </xf>
    <xf borderId="0" fillId="11" fontId="3" numFmtId="49" xfId="0" applyAlignment="1" applyFont="1" applyNumberFormat="1">
      <alignment readingOrder="0" vertical="bottom"/>
    </xf>
    <xf borderId="0" fillId="11" fontId="23" numFmtId="49" xfId="0" applyAlignment="1" applyFont="1" applyNumberFormat="1">
      <alignment readingOrder="0" vertical="bottom"/>
    </xf>
    <xf borderId="0" fillId="3" fontId="3" numFmtId="49" xfId="0" applyAlignment="1" applyFont="1" applyNumberFormat="1">
      <alignment readingOrder="0" vertical="bottom"/>
    </xf>
    <xf borderId="0" fillId="3" fontId="25" numFmtId="0" xfId="0" applyAlignment="1" applyFont="1">
      <alignment horizontal="right" readingOrder="0" vertical="bottom"/>
    </xf>
    <xf borderId="0" fillId="0" fontId="23" numFmtId="0" xfId="0" applyAlignment="1" applyFont="1">
      <alignment readingOrder="0" vertical="bottom"/>
    </xf>
    <xf borderId="0" fillId="0" fontId="23" numFmtId="0" xfId="0" applyAlignment="1" applyFont="1">
      <alignment horizontal="right" readingOrder="0" vertical="bottom"/>
    </xf>
    <xf borderId="12" fillId="0" fontId="23" numFmtId="0" xfId="0" applyAlignment="1" applyBorder="1" applyFont="1">
      <alignment shrinkToFit="0" vertical="bottom" wrapText="0"/>
    </xf>
    <xf borderId="12" fillId="0" fontId="23" numFmtId="0" xfId="0" applyAlignment="1" applyBorder="1" applyFont="1">
      <alignment vertical="bottom"/>
    </xf>
    <xf borderId="0" fillId="0" fontId="23" numFmtId="0" xfId="0" applyAlignment="1" applyFont="1">
      <alignment horizontal="right" vertical="bottom"/>
    </xf>
    <xf borderId="0" fillId="0" fontId="23" numFmtId="2" xfId="0" applyAlignment="1" applyFont="1" applyNumberFormat="1">
      <alignment horizontal="right" vertical="bottom"/>
    </xf>
    <xf borderId="12" fillId="0" fontId="3" numFmtId="0" xfId="0" applyAlignment="1" applyBorder="1" applyFont="1">
      <alignment horizontal="right" vertical="bottom"/>
    </xf>
    <xf borderId="12" fillId="6" fontId="3" numFmtId="2" xfId="0" applyAlignment="1" applyBorder="1" applyFont="1" applyNumberFormat="1">
      <alignment horizontal="right" vertical="bottom"/>
    </xf>
    <xf borderId="12" fillId="6" fontId="23" numFmtId="2" xfId="0" applyAlignment="1" applyBorder="1" applyFont="1" applyNumberFormat="1">
      <alignment horizontal="right" vertical="bottom"/>
    </xf>
    <xf borderId="12" fillId="6" fontId="23" numFmtId="0" xfId="0" applyAlignment="1" applyBorder="1" applyFont="1">
      <alignment vertical="bottom"/>
    </xf>
    <xf borderId="0" fillId="0" fontId="26" numFmtId="0" xfId="0" applyAlignment="1" applyFont="1">
      <alignment vertical="bottom"/>
    </xf>
    <xf borderId="0" fillId="12" fontId="1" numFmtId="0" xfId="0" applyAlignment="1" applyFill="1" applyFont="1">
      <alignment readingOrder="0"/>
    </xf>
    <xf borderId="0" fillId="13" fontId="1" numFmtId="0" xfId="0" applyAlignment="1" applyFill="1" applyFont="1">
      <alignment readingOrder="0"/>
    </xf>
    <xf borderId="0" fillId="12" fontId="1" numFmtId="0" xfId="0" applyFont="1"/>
    <xf borderId="0" fillId="12" fontId="1" numFmtId="4" xfId="0" applyFont="1" applyNumberFormat="1"/>
    <xf borderId="0" fillId="13" fontId="1" numFmtId="4" xfId="0" applyFont="1" applyNumberFormat="1"/>
    <xf borderId="0" fillId="0" fontId="1" numFmtId="10" xfId="0" applyAlignment="1" applyFont="1" applyNumberFormat="1">
      <alignment readingOrder="0"/>
    </xf>
    <xf borderId="0" fillId="14" fontId="18" numFmtId="0" xfId="0" applyAlignment="1" applyFill="1" applyFont="1">
      <alignment readingOrder="0"/>
    </xf>
    <xf borderId="0" fillId="14" fontId="1" numFmtId="0" xfId="0" applyFont="1"/>
    <xf borderId="0" fillId="15" fontId="18" numFmtId="0" xfId="0" applyAlignment="1" applyFill="1" applyFont="1">
      <alignment readingOrder="0"/>
    </xf>
    <xf borderId="0" fillId="15" fontId="1" numFmtId="0" xfId="0" applyFont="1"/>
    <xf borderId="0" fillId="14" fontId="1" numFmtId="0" xfId="0" applyAlignment="1" applyFont="1">
      <alignment readingOrder="0"/>
    </xf>
    <xf borderId="0" fillId="15" fontId="1" numFmtId="0" xfId="0" applyAlignment="1" applyFont="1">
      <alignment readingOrder="0"/>
    </xf>
    <xf borderId="0" fillId="3" fontId="20" numFmtId="0" xfId="0" applyFont="1"/>
    <xf borderId="0" fillId="0" fontId="3" numFmtId="4" xfId="0" applyAlignment="1" applyFont="1" applyNumberFormat="1">
      <alignment horizontal="center"/>
    </xf>
    <xf borderId="0" fillId="0" fontId="3" numFmtId="4" xfId="0" applyAlignment="1" applyFont="1" applyNumberFormat="1">
      <alignment horizontal="center" readingOrder="0"/>
    </xf>
    <xf borderId="0" fillId="0" fontId="6" numFmtId="4" xfId="0" applyAlignment="1" applyFont="1" applyNumberFormat="1">
      <alignment horizontal="center" readingOrder="0" shrinkToFit="0" vertical="top" wrapText="1"/>
    </xf>
    <xf borderId="0" fillId="0" fontId="6" numFmtId="4" xfId="0" applyAlignment="1" applyFont="1" applyNumberFormat="1">
      <alignment horizontal="center" shrinkToFit="0" vertical="top" wrapText="1"/>
    </xf>
    <xf borderId="0" fillId="3" fontId="16" numFmtId="10" xfId="0" applyAlignment="1" applyFont="1" applyNumberFormat="1">
      <alignment horizontal="right" vertical="bottom"/>
    </xf>
    <xf borderId="0" fillId="3" fontId="17" numFmtId="10" xfId="0" applyAlignment="1" applyFont="1" applyNumberFormat="1">
      <alignment horizontal="right" vertical="bottom"/>
    </xf>
    <xf borderId="13" fillId="3" fontId="16" numFmtId="10" xfId="0" applyAlignment="1" applyBorder="1" applyFont="1" applyNumberFormat="1">
      <alignment horizontal="right" vertical="bottom"/>
    </xf>
    <xf borderId="0" fillId="3" fontId="15" numFmtId="0" xfId="0" applyAlignment="1" applyFont="1">
      <alignment readingOrder="0" vertical="bottom"/>
    </xf>
    <xf borderId="0" fillId="3" fontId="3" numFmtId="0" xfId="0" applyAlignment="1" applyFont="1">
      <alignment vertical="bottom"/>
    </xf>
    <xf borderId="0" fillId="3" fontId="16" numFmtId="0" xfId="0" applyAlignment="1" applyFont="1">
      <alignment vertical="bottom"/>
    </xf>
    <xf borderId="0" fillId="3" fontId="3" numFmtId="10" xfId="0" applyAlignment="1" applyFont="1" applyNumberFormat="1">
      <alignment vertical="bottom"/>
    </xf>
    <xf borderId="0" fillId="0" fontId="3" numFmtId="4" xfId="0" applyAlignment="1" applyFont="1" applyNumberFormat="1">
      <alignment horizontal="right" vertical="bottom"/>
    </xf>
    <xf borderId="0" fillId="3" fontId="17" numFmtId="10" xfId="0" applyAlignment="1" applyFont="1" applyNumberFormat="1">
      <alignment horizontal="right" vertical="bottom"/>
    </xf>
    <xf borderId="13" fillId="3" fontId="16" numFmtId="0" xfId="0" applyAlignment="1" applyBorder="1" applyFont="1">
      <alignment vertical="bottom"/>
    </xf>
    <xf borderId="13" fillId="3" fontId="16" numFmtId="10" xfId="0" applyAlignment="1" applyBorder="1" applyFont="1" applyNumberFormat="1">
      <alignment horizontal="right" vertical="bottom"/>
    </xf>
    <xf borderId="0" fillId="0" fontId="27" numFmtId="0" xfId="0" applyAlignment="1" applyFont="1">
      <alignment horizontal="center" readingOrder="0"/>
    </xf>
    <xf borderId="0" fillId="0" fontId="13" numFmtId="168" xfId="0" applyAlignment="1" applyFont="1" applyNumberFormat="1">
      <alignment horizontal="center" shrinkToFit="0" vertical="top" wrapText="1"/>
    </xf>
    <xf borderId="0" fillId="0" fontId="27" numFmtId="0" xfId="0" applyAlignment="1" applyFont="1">
      <alignment horizontal="center"/>
    </xf>
    <xf borderId="0" fillId="0" fontId="27" numFmtId="3" xfId="0" applyAlignment="1" applyFont="1" applyNumberFormat="1">
      <alignment horizontal="center"/>
    </xf>
    <xf borderId="0" fillId="0" fontId="27" numFmtId="169" xfId="0" applyAlignment="1" applyFont="1" applyNumberFormat="1">
      <alignment horizontal="center"/>
    </xf>
    <xf borderId="0" fillId="0" fontId="13" numFmtId="168" xfId="0" applyAlignment="1" applyFont="1" applyNumberFormat="1">
      <alignment horizontal="center" shrinkToFit="0" wrapText="1"/>
    </xf>
    <xf borderId="0" fillId="0" fontId="27" numFmtId="14" xfId="0" applyAlignment="1" applyFont="1" applyNumberFormat="1">
      <alignment horizontal="center"/>
    </xf>
    <xf borderId="0" fillId="0" fontId="13" numFmtId="168" xfId="0" applyAlignment="1" applyFont="1" applyNumberFormat="1">
      <alignment horizontal="center" readingOrder="0" shrinkToFit="0" vertical="top" wrapText="1"/>
    </xf>
    <xf borderId="0" fillId="0" fontId="27" numFmtId="168" xfId="0" applyAlignment="1" applyFont="1" applyNumberFormat="1">
      <alignment horizontal="center"/>
    </xf>
    <xf borderId="0" fillId="0" fontId="27" numFmtId="0" xfId="0" applyAlignment="1" applyFont="1">
      <alignment horizontal="center" readingOrder="0"/>
    </xf>
    <xf borderId="0" fillId="0" fontId="27" numFmtId="4" xfId="0" applyAlignment="1" applyFont="1" applyNumberFormat="1">
      <alignment horizontal="center"/>
    </xf>
    <xf borderId="0" fillId="16" fontId="18" numFmtId="0" xfId="0" applyAlignment="1" applyFill="1" applyFont="1">
      <alignment readingOrder="0"/>
    </xf>
    <xf borderId="0" fillId="16" fontId="3" numFmtId="0" xfId="0" applyFont="1"/>
    <xf borderId="0" fillId="16" fontId="3" numFmtId="0" xfId="0" applyAlignment="1" applyFont="1">
      <alignment readingOrder="0"/>
    </xf>
    <xf borderId="0" fillId="16" fontId="1" numFmtId="0" xfId="0" applyAlignment="1" applyFont="1">
      <alignment readingOrder="0"/>
    </xf>
    <xf borderId="0" fillId="16" fontId="1" numFmtId="0" xfId="0" applyFont="1"/>
    <xf borderId="0" fillId="16" fontId="3" numFmtId="4" xfId="0" applyAlignment="1" applyFont="1" applyNumberFormat="1">
      <alignment readingOrder="0"/>
    </xf>
    <xf borderId="0" fillId="16" fontId="3" numFmtId="4" xfId="0" applyAlignment="1" applyFont="1" applyNumberFormat="1">
      <alignment horizontal="center" readingOrder="0"/>
    </xf>
    <xf borderId="0" fillId="16" fontId="6" numFmtId="4" xfId="0" applyAlignment="1" applyFont="1" applyNumberFormat="1">
      <alignment horizontal="center" readingOrder="0" shrinkToFit="0" vertical="top" wrapText="1"/>
    </xf>
    <xf borderId="0" fillId="16" fontId="3" numFmtId="0" xfId="0" applyAlignment="1" applyFont="1">
      <alignment horizontal="center" readingOrder="0"/>
    </xf>
    <xf borderId="0" fillId="16" fontId="18" numFmtId="0" xfId="0" applyFont="1"/>
    <xf borderId="0" fillId="16" fontId="18" numFmtId="4" xfId="0" applyFont="1" applyNumberFormat="1"/>
    <xf borderId="0" fillId="16" fontId="3" numFmtId="4" xfId="0" applyFont="1" applyNumberFormat="1"/>
    <xf borderId="0" fillId="16" fontId="1" numFmtId="4" xfId="0" applyFont="1" applyNumberFormat="1"/>
    <xf borderId="0" fillId="16" fontId="1" numFmtId="165" xfId="0" applyAlignment="1" applyFont="1" applyNumberFormat="1">
      <alignment readingOrder="0"/>
    </xf>
    <xf borderId="0" fillId="16" fontId="1" numFmtId="165" xfId="0" applyFont="1" applyNumberFormat="1"/>
    <xf borderId="12" fillId="0" fontId="3" numFmtId="0" xfId="0" applyAlignment="1" applyBorder="1" applyFont="1">
      <alignment horizontal="center" shrinkToFit="0" wrapText="0"/>
    </xf>
    <xf borderId="12" fillId="0" fontId="24" numFmtId="0" xfId="0" applyAlignment="1" applyBorder="1" applyFont="1">
      <alignment horizontal="center" readingOrder="0" shrinkToFit="0" wrapText="0"/>
    </xf>
    <xf borderId="0" fillId="0" fontId="24" numFmtId="0" xfId="0" applyAlignment="1" applyFont="1">
      <alignment readingOrder="0"/>
    </xf>
    <xf borderId="0" fillId="0" fontId="24" numFmtId="2" xfId="0" applyAlignment="1" applyFont="1" applyNumberFormat="1">
      <alignment readingOrder="0"/>
    </xf>
    <xf borderId="0" fillId="0" fontId="3" numFmtId="167" xfId="0" applyAlignment="1" applyFont="1" applyNumberFormat="1">
      <alignment horizontal="center"/>
    </xf>
    <xf borderId="0" fillId="0" fontId="24" numFmtId="0" xfId="0" applyFont="1"/>
    <xf borderId="0" fillId="0" fontId="18" numFmtId="2" xfId="0" applyFont="1" applyNumberFormat="1"/>
    <xf borderId="14" fillId="0" fontId="24" numFmtId="4" xfId="0" applyAlignment="1" applyBorder="1" applyFont="1" applyNumberFormat="1">
      <alignment horizontal="right" readingOrder="0" shrinkToFit="0" vertical="bottom" wrapText="1"/>
    </xf>
    <xf borderId="14" fillId="0" fontId="24" numFmtId="0" xfId="0" applyAlignment="1" applyBorder="1" applyFont="1">
      <alignment horizontal="right" readingOrder="0" shrinkToFit="0" vertical="bottom" wrapText="1"/>
    </xf>
    <xf borderId="0" fillId="3" fontId="25" numFmtId="2" xfId="0" applyFont="1" applyNumberFormat="1"/>
    <xf borderId="12" fillId="0" fontId="24" numFmtId="0" xfId="0" applyAlignment="1" applyBorder="1" applyFont="1">
      <alignment readingOrder="0" shrinkToFit="0" vertical="bottom" wrapText="0"/>
    </xf>
    <xf borderId="0" fillId="3" fontId="28" numFmtId="2" xfId="0" applyFont="1" applyNumberFormat="1"/>
    <xf borderId="12" fillId="0" fontId="24" numFmtId="0" xfId="0" applyAlignment="1" applyBorder="1" applyFont="1">
      <alignment vertical="bottom"/>
    </xf>
    <xf borderId="12" fillId="0" fontId="3" numFmtId="0" xfId="0" applyAlignment="1" applyBorder="1" applyFont="1">
      <alignment horizontal="center"/>
    </xf>
    <xf borderId="12" fillId="9" fontId="3" numFmtId="170" xfId="0" applyAlignment="1" applyBorder="1" applyFont="1" applyNumberFormat="1">
      <alignment horizontal="center" readingOrder="0"/>
    </xf>
    <xf borderId="0" fillId="0" fontId="13" numFmtId="171" xfId="0" applyAlignment="1" applyFont="1" applyNumberFormat="1">
      <alignment horizontal="center" readingOrder="0"/>
    </xf>
    <xf borderId="3" fillId="0" fontId="13" numFmtId="171" xfId="0" applyAlignment="1" applyBorder="1" applyFont="1" applyNumberFormat="1">
      <alignment horizontal="center" readingOrder="0"/>
    </xf>
    <xf borderId="0" fillId="0" fontId="22" numFmtId="0" xfId="0" applyAlignment="1" applyFont="1">
      <alignment horizontal="center" vertical="bottom"/>
    </xf>
    <xf borderId="0" fillId="0" fontId="29" numFmtId="2" xfId="0" applyAlignment="1" applyFont="1" applyNumberFormat="1">
      <alignment horizontal="right" vertical="bottom"/>
    </xf>
    <xf borderId="0" fillId="0" fontId="22" numFmtId="2" xfId="0" applyAlignment="1" applyFont="1" applyNumberFormat="1">
      <alignment horizontal="right" vertical="bottom"/>
    </xf>
    <xf borderId="0" fillId="0" fontId="22" numFmtId="170" xfId="0" applyAlignment="1" applyFont="1" applyNumberFormat="1">
      <alignment horizontal="center" vertical="bottom"/>
    </xf>
    <xf borderId="0" fillId="0" fontId="30" numFmtId="0" xfId="0" applyAlignment="1" applyFont="1">
      <alignment readingOrder="0"/>
    </xf>
    <xf borderId="0" fillId="0" fontId="3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Loop Temperature Yearly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'Loop Temperature Across Year'!$Q$20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circle"/>
            <c:size val="2"/>
            <c:spPr>
              <a:solidFill>
                <a:srgbClr val="4472C4"/>
              </a:solidFill>
              <a:ln cmpd="sng">
                <a:solidFill>
                  <a:srgbClr val="4472C4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'Loop Temperature Across Year'!$A$21:$A$32</c:f>
            </c:strRef>
          </c:cat>
          <c:val>
            <c:numRef>
              <c:f>'Loop Temperature Across Year'!$Q$21:$Q$32</c:f>
              <c:numCache/>
            </c:numRef>
          </c:val>
          <c:smooth val="0"/>
        </c:ser>
        <c:axId val="270461151"/>
        <c:axId val="1142531752"/>
      </c:lineChart>
      <c:catAx>
        <c:axId val="270461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2531752"/>
      </c:catAx>
      <c:valAx>
        <c:axId val="11425317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Degrees F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046115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Chart2.png"/><Relationship Id="rId2" Type="http://schemas.openxmlformats.org/officeDocument/2006/relationships/image" Target="../media/Chart3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Chart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209550</xdr:colOff>
      <xdr:row>55</xdr:row>
      <xdr:rowOff>28575</xdr:rowOff>
    </xdr:from>
    <xdr:ext cx="8096250" cy="4857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285750</xdr:colOff>
      <xdr:row>35</xdr:row>
      <xdr:rowOff>152400</xdr:rowOff>
    </xdr:from>
    <xdr:ext cx="5715000" cy="3533775"/>
    <xdr:graphicFrame>
      <xdr:nvGraphicFramePr>
        <xdr:cNvPr id="1801885257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419100</xdr:colOff>
      <xdr:row>11</xdr:row>
      <xdr:rowOff>95250</xdr:rowOff>
    </xdr:from>
    <xdr:ext cx="8334375" cy="4848225"/>
    <xdr:pic>
      <xdr:nvPicPr>
        <xdr:cNvPr id="1590980006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333375</xdr:colOff>
      <xdr:row>34</xdr:row>
      <xdr:rowOff>76200</xdr:rowOff>
    </xdr:from>
    <xdr:ext cx="10487025" cy="5343525"/>
    <xdr:pic>
      <xdr:nvPicPr>
        <xdr:cNvPr id="2100539499" name="Chart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266700</xdr:colOff>
      <xdr:row>1</xdr:row>
      <xdr:rowOff>0</xdr:rowOff>
    </xdr:from>
    <xdr:ext cx="8905875" cy="5467350"/>
    <xdr:pic>
      <xdr:nvPicPr>
        <xdr:cNvPr id="1671574881" name="Chart4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yiso.com/documents/20142/2223020/2018-Power-Trends.pdf/4cd3a2a6-838a-bb54-f631-8982a7bdfa7a" TargetMode="External"/><Relationship Id="rId2" Type="http://schemas.openxmlformats.org/officeDocument/2006/relationships/hyperlink" Target="https://www.researchgate.net/figure/COP-of-the-heat-pump-at-different-ambient-air-temperatures-for-condenser-outlet_fig7_272093420" TargetMode="External"/><Relationship Id="rId3" Type="http://schemas.openxmlformats.org/officeDocument/2006/relationships/hyperlink" Target="https://www.pickhvac.com/faq/heat-pump-cop/" TargetMode="External"/><Relationship Id="rId4" Type="http://schemas.openxmlformats.org/officeDocument/2006/relationships/hyperlink" Target="https://www.nyserda.ny.gov/Researchers-and-Policymakers/Energy-Prices/Electricity/Monthly-Avg-Electricity-Residential" TargetMode="External"/><Relationship Id="rId5" Type="http://schemas.openxmlformats.org/officeDocument/2006/relationships/hyperlink" Target="https://www.mitsubishipro.com/pdfs/m-series-catalog.pdf" TargetMode="External"/><Relationship Id="rId6" Type="http://schemas.openxmlformats.org/officeDocument/2006/relationships/hyperlink" Target="https://www.researchgate.net/publication/314106888_Nanocomposite_Materials_Used_for_Ground_Heat_Exchanger_Pipes" TargetMode="External"/><Relationship Id="rId7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ngineeringtoolbox.com/circles-within-rectangle-d_1905.html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inventory.powerzone.com/item/56946/used-sulzer-bingham-8x10x125-cp-d-horizontal-multi-stage-centrifugal-pump-complete-pump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heat-balance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5"/>
    <col customWidth="1" min="2" max="2" width="17.63"/>
    <col customWidth="1" min="3" max="3" width="15.13"/>
    <col customWidth="1" min="4" max="4" width="16.5"/>
    <col customWidth="1" min="5" max="5" width="9.63"/>
    <col customWidth="1" min="6" max="6" width="10.25"/>
    <col customWidth="1" min="7" max="7" width="11.0"/>
    <col customWidth="1" min="8" max="8" width="11.63"/>
    <col customWidth="1" min="9" max="9" width="16.13"/>
    <col customWidth="1" min="10" max="10" width="15.25"/>
    <col customWidth="1" min="11" max="26" width="7.63"/>
  </cols>
  <sheetData>
    <row r="1">
      <c r="A1" s="1" t="s">
        <v>0</v>
      </c>
      <c r="B1" s="1" t="s">
        <v>1</v>
      </c>
      <c r="C1" s="1" t="s">
        <v>2</v>
      </c>
      <c r="D1" s="2">
        <v>621436.0</v>
      </c>
    </row>
    <row r="2">
      <c r="B2" s="1" t="s">
        <v>3</v>
      </c>
      <c r="C2" s="1" t="s">
        <v>4</v>
      </c>
      <c r="D2" s="3" t="s">
        <v>5</v>
      </c>
      <c r="E2" s="1" t="s">
        <v>6</v>
      </c>
      <c r="F2" s="1" t="s">
        <v>7</v>
      </c>
      <c r="G2" s="1" t="s">
        <v>8</v>
      </c>
    </row>
    <row r="3">
      <c r="B3" s="1" t="s">
        <v>9</v>
      </c>
      <c r="C3" s="1">
        <v>83244.0</v>
      </c>
      <c r="D3" s="1">
        <f t="shared" ref="D3:D6" si="1">C3*$A$9</f>
        <v>1914612</v>
      </c>
      <c r="E3" s="1">
        <f t="shared" ref="E3:E7" si="2">D3/$A$10</f>
        <v>159.551</v>
      </c>
      <c r="F3" s="1">
        <f t="shared" ref="F3:F7" si="3">E3*$A$11</f>
        <v>51694.524</v>
      </c>
      <c r="G3" s="1">
        <f t="shared" ref="G3:G7" si="4">E3*3</f>
        <v>478.653</v>
      </c>
    </row>
    <row r="4">
      <c r="B4" s="1" t="s">
        <v>10</v>
      </c>
      <c r="C4" s="1">
        <v>50966.0</v>
      </c>
      <c r="D4" s="1">
        <f t="shared" si="1"/>
        <v>1172218</v>
      </c>
      <c r="E4" s="1">
        <f t="shared" si="2"/>
        <v>97.68483333</v>
      </c>
      <c r="F4" s="1">
        <f t="shared" si="3"/>
        <v>31649.886</v>
      </c>
      <c r="G4" s="1">
        <f t="shared" si="4"/>
        <v>293.0545</v>
      </c>
    </row>
    <row r="5">
      <c r="B5" s="1" t="s">
        <v>11</v>
      </c>
      <c r="C5" s="1">
        <v>36837.0</v>
      </c>
      <c r="D5" s="1">
        <f t="shared" si="1"/>
        <v>847251</v>
      </c>
      <c r="E5" s="1">
        <f t="shared" si="2"/>
        <v>70.60425</v>
      </c>
      <c r="F5" s="1">
        <f t="shared" si="3"/>
        <v>22875.777</v>
      </c>
      <c r="G5" s="1">
        <f t="shared" si="4"/>
        <v>211.81275</v>
      </c>
    </row>
    <row r="6">
      <c r="B6" s="1" t="s">
        <v>12</v>
      </c>
      <c r="C6" s="1">
        <v>4896.0</v>
      </c>
      <c r="D6" s="1">
        <f t="shared" si="1"/>
        <v>112608</v>
      </c>
      <c r="E6" s="1">
        <f t="shared" si="2"/>
        <v>9.384</v>
      </c>
      <c r="F6" s="1">
        <f t="shared" si="3"/>
        <v>3040.416</v>
      </c>
      <c r="G6" s="1">
        <f t="shared" si="4"/>
        <v>28.152</v>
      </c>
    </row>
    <row r="7">
      <c r="A7" s="1" t="s">
        <v>13</v>
      </c>
      <c r="C7" s="2">
        <v>621436.0</v>
      </c>
      <c r="D7" s="1">
        <f>SUM(D3:D6)</f>
        <v>4046689</v>
      </c>
      <c r="E7" s="4">
        <f t="shared" si="2"/>
        <v>337.2240833</v>
      </c>
      <c r="F7" s="1">
        <f t="shared" si="3"/>
        <v>109260.603</v>
      </c>
      <c r="G7" s="1">
        <f t="shared" si="4"/>
        <v>1011.67225</v>
      </c>
    </row>
    <row r="8">
      <c r="A8" s="1">
        <v>8.33333</v>
      </c>
      <c r="B8" s="1" t="s">
        <v>14</v>
      </c>
    </row>
    <row r="9">
      <c r="A9" s="1">
        <v>23.0</v>
      </c>
      <c r="B9" s="1" t="s">
        <v>15</v>
      </c>
      <c r="I9" s="5" t="s">
        <v>16</v>
      </c>
      <c r="J9" s="5" t="s">
        <v>17</v>
      </c>
    </row>
    <row r="10">
      <c r="A10" s="1">
        <v>12000.0</v>
      </c>
      <c r="B10" s="1" t="s">
        <v>18</v>
      </c>
      <c r="H10" s="1" t="s">
        <v>19</v>
      </c>
      <c r="I10" s="1">
        <v>100.0</v>
      </c>
      <c r="J10" s="6">
        <v>1500.0</v>
      </c>
    </row>
    <row r="11">
      <c r="A11" s="1">
        <v>324.0</v>
      </c>
      <c r="B11" s="1" t="s">
        <v>20</v>
      </c>
      <c r="H11" s="1" t="s">
        <v>21</v>
      </c>
      <c r="I11" s="1">
        <v>36837.0</v>
      </c>
      <c r="J11" s="7">
        <f>621436-I11</f>
        <v>584599</v>
      </c>
    </row>
    <row r="12">
      <c r="A12" s="1" t="s">
        <v>22</v>
      </c>
      <c r="C12" s="1" t="s">
        <v>23</v>
      </c>
      <c r="H12" s="5" t="s">
        <v>24</v>
      </c>
      <c r="I12" s="1">
        <f t="shared" ref="I12:J12" si="5">I10/I11</f>
        <v>0.002714661889</v>
      </c>
      <c r="J12" s="8">
        <f t="shared" si="5"/>
        <v>0.002565861385</v>
      </c>
    </row>
    <row r="13">
      <c r="A13" s="1" t="s">
        <v>25</v>
      </c>
      <c r="C13" s="1" t="s">
        <v>26</v>
      </c>
      <c r="H13" s="1" t="s">
        <v>20</v>
      </c>
      <c r="I13" s="1">
        <v>324.0</v>
      </c>
      <c r="J13" s="9">
        <v>324.0</v>
      </c>
    </row>
    <row r="14">
      <c r="A14" s="5" t="s">
        <v>27</v>
      </c>
      <c r="H14" s="5" t="s">
        <v>28</v>
      </c>
      <c r="I14" s="1">
        <v>36.0</v>
      </c>
      <c r="J14" s="8">
        <f>J16/(900)</f>
        <v>540</v>
      </c>
    </row>
    <row r="15">
      <c r="A15" s="1" t="s">
        <v>29</v>
      </c>
      <c r="H15" s="1" t="s">
        <v>30</v>
      </c>
      <c r="I15" s="1">
        <v>450.0</v>
      </c>
      <c r="J15" s="9">
        <v>450.0</v>
      </c>
    </row>
    <row r="16">
      <c r="H16" s="1" t="s">
        <v>31</v>
      </c>
      <c r="I16" s="1">
        <f>I14*I15*2</f>
        <v>32400</v>
      </c>
      <c r="J16" s="8">
        <f>J10*I13</f>
        <v>486000</v>
      </c>
    </row>
    <row r="17">
      <c r="H17" s="1" t="s">
        <v>32</v>
      </c>
      <c r="I17" s="1">
        <f t="shared" ref="I17:J17" si="6">I16/I11</f>
        <v>0.879550452</v>
      </c>
      <c r="J17" s="10">
        <f t="shared" si="6"/>
        <v>0.8313390888</v>
      </c>
    </row>
    <row r="18">
      <c r="H18" s="5" t="s">
        <v>33</v>
      </c>
      <c r="I18" s="1">
        <f t="shared" ref="I18:J18" si="7">I16/5280</f>
        <v>6.136363636</v>
      </c>
      <c r="J18" s="8">
        <f t="shared" si="7"/>
        <v>92.04545455</v>
      </c>
      <c r="L18" s="5">
        <v>16.2</v>
      </c>
      <c r="M18" s="11" t="s">
        <v>34</v>
      </c>
    </row>
    <row r="19">
      <c r="A19" s="1" t="s">
        <v>35</v>
      </c>
      <c r="B19" s="1">
        <v>337668.3</v>
      </c>
      <c r="L19" s="1">
        <f>L18*J16</f>
        <v>7873200</v>
      </c>
      <c r="M19" s="5" t="s">
        <v>36</v>
      </c>
    </row>
    <row r="20">
      <c r="A20" s="1" t="s">
        <v>37</v>
      </c>
      <c r="B20" s="1">
        <v>343972.2</v>
      </c>
      <c r="H20" s="1" t="s">
        <v>38</v>
      </c>
      <c r="L20" s="1">
        <f>L19/1000000</f>
        <v>7.8732</v>
      </c>
      <c r="M20" s="5" t="s">
        <v>39</v>
      </c>
    </row>
    <row r="21" ht="15.75" customHeight="1">
      <c r="A21" s="1" t="s">
        <v>40</v>
      </c>
      <c r="B21" s="1">
        <v>390695.0</v>
      </c>
      <c r="H21" s="1" t="s">
        <v>41</v>
      </c>
    </row>
    <row r="22" ht="15.75" customHeight="1">
      <c r="A22" s="1" t="s">
        <v>42</v>
      </c>
      <c r="B22" s="1">
        <f>AVERAGE(B19:B21)</f>
        <v>357445.1667</v>
      </c>
      <c r="H22" s="1" t="s">
        <v>43</v>
      </c>
    </row>
    <row r="23" ht="15.75" customHeight="1">
      <c r="A23" s="1" t="s">
        <v>44</v>
      </c>
      <c r="B23" s="1">
        <f>B22*8.3333333</f>
        <v>2978709.71</v>
      </c>
      <c r="H23" s="1" t="s">
        <v>45</v>
      </c>
    </row>
    <row r="24" ht="15.75" customHeight="1">
      <c r="A24" s="1" t="s">
        <v>46</v>
      </c>
      <c r="B24" s="4">
        <f>B23/8760</f>
        <v>340.0353551</v>
      </c>
    </row>
    <row r="25" ht="15.75" customHeight="1"/>
    <row r="26" ht="15.75" customHeight="1">
      <c r="A26" s="1" t="s">
        <v>47</v>
      </c>
    </row>
    <row r="27" ht="15.75" customHeight="1">
      <c r="A27" s="1" t="s">
        <v>48</v>
      </c>
      <c r="B27" s="1" t="s">
        <v>49</v>
      </c>
      <c r="C27" s="1" t="s">
        <v>50</v>
      </c>
      <c r="D27" s="1" t="s">
        <v>51</v>
      </c>
      <c r="E27" s="1" t="s">
        <v>52</v>
      </c>
      <c r="F27" s="1" t="s">
        <v>53</v>
      </c>
      <c r="G27" s="1" t="s">
        <v>54</v>
      </c>
      <c r="H27" s="1" t="s">
        <v>6</v>
      </c>
    </row>
    <row r="28" ht="15.75" customHeight="1">
      <c r="A28" s="12">
        <v>42401.0</v>
      </c>
      <c r="B28" s="1">
        <v>31.0</v>
      </c>
      <c r="C28" s="13">
        <v>62270.0</v>
      </c>
      <c r="D28" s="1">
        <v>1.0279</v>
      </c>
      <c r="E28" s="14">
        <v>64007.8</v>
      </c>
      <c r="F28" s="1">
        <v>2064.8</v>
      </c>
      <c r="G28" s="1">
        <f t="shared" ref="G28:G31" si="8">F28/24</f>
        <v>86.03333333</v>
      </c>
      <c r="H28" s="1">
        <f t="shared" ref="H28:H31" si="9">G28*8.3333333</f>
        <v>716.9444416</v>
      </c>
    </row>
    <row r="29" ht="15.75" customHeight="1">
      <c r="A29" s="12">
        <v>42767.0</v>
      </c>
      <c r="B29" s="1">
        <v>31.0</v>
      </c>
      <c r="C29" s="13">
        <v>56450.0</v>
      </c>
      <c r="D29" s="1">
        <v>1.0283</v>
      </c>
      <c r="E29" s="14">
        <v>58049.9</v>
      </c>
      <c r="F29" s="1">
        <v>1872.6</v>
      </c>
      <c r="G29" s="1">
        <f t="shared" si="8"/>
        <v>78.025</v>
      </c>
      <c r="H29" s="1">
        <f t="shared" si="9"/>
        <v>650.2083307</v>
      </c>
    </row>
    <row r="30" ht="15.75" customHeight="1">
      <c r="A30" s="12">
        <v>43132.0</v>
      </c>
      <c r="B30" s="1">
        <v>31.0</v>
      </c>
      <c r="C30" s="13">
        <v>67500.0</v>
      </c>
      <c r="D30" s="1">
        <v>1.0265</v>
      </c>
      <c r="E30" s="14">
        <v>69289.5</v>
      </c>
      <c r="F30" s="1">
        <v>2235.1</v>
      </c>
      <c r="G30" s="1">
        <f t="shared" si="8"/>
        <v>93.12916667</v>
      </c>
      <c r="H30" s="1">
        <f t="shared" si="9"/>
        <v>776.0763858</v>
      </c>
    </row>
    <row r="31" ht="15.75" customHeight="1">
      <c r="A31" s="12">
        <v>43497.0</v>
      </c>
      <c r="B31" s="1">
        <v>31.0</v>
      </c>
      <c r="C31" s="13">
        <v>63150.0</v>
      </c>
      <c r="D31" s="1">
        <v>1.0283</v>
      </c>
      <c r="E31" s="14">
        <v>64937.3</v>
      </c>
      <c r="F31" s="1">
        <v>2094.8</v>
      </c>
      <c r="G31" s="1">
        <f t="shared" si="8"/>
        <v>87.28333333</v>
      </c>
      <c r="H31" s="1">
        <f t="shared" si="9"/>
        <v>727.3611082</v>
      </c>
    </row>
    <row r="32" ht="15.75" customHeight="1">
      <c r="B32" s="13"/>
      <c r="C32" s="13"/>
      <c r="D32" s="13"/>
      <c r="F32" s="14"/>
    </row>
    <row r="33" ht="15.75" customHeight="1">
      <c r="A33" s="1" t="s">
        <v>55</v>
      </c>
      <c r="F33" s="14"/>
    </row>
    <row r="34" ht="15.75" customHeight="1">
      <c r="A34" s="15" t="s">
        <v>56</v>
      </c>
      <c r="F34" s="14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5.13"/>
    <col customWidth="1" min="6" max="6" width="13.5"/>
    <col customWidth="1" min="7" max="7" width="18.38"/>
    <col customWidth="1" min="9" max="9" width="20.13"/>
    <col customWidth="1" min="11" max="11" width="17.5"/>
  </cols>
  <sheetData>
    <row r="1">
      <c r="A1" s="67" t="s">
        <v>228</v>
      </c>
      <c r="C1" s="5" t="s">
        <v>229</v>
      </c>
      <c r="G1" s="135" t="s">
        <v>230</v>
      </c>
      <c r="H1" s="135" t="s">
        <v>231</v>
      </c>
      <c r="I1" s="135" t="s">
        <v>232</v>
      </c>
      <c r="J1" s="135" t="s">
        <v>160</v>
      </c>
      <c r="K1" s="135" t="s">
        <v>232</v>
      </c>
      <c r="L1" s="135" t="s">
        <v>233</v>
      </c>
      <c r="N1" s="136" t="s">
        <v>234</v>
      </c>
      <c r="O1" s="136" t="s">
        <v>160</v>
      </c>
      <c r="P1" s="136" t="s">
        <v>232</v>
      </c>
    </row>
    <row r="2">
      <c r="A2" s="5" t="s">
        <v>235</v>
      </c>
      <c r="B2" s="5">
        <v>1000000.0</v>
      </c>
      <c r="G2" s="135">
        <v>2016.0</v>
      </c>
      <c r="H2" s="137">
        <v>337668.3</v>
      </c>
      <c r="I2" s="138">
        <f t="shared" ref="I2:I4" si="1">H2*99976.1</f>
        <v>33758759728</v>
      </c>
      <c r="J2" s="137"/>
      <c r="K2" s="137"/>
      <c r="L2" s="137"/>
      <c r="N2" s="136">
        <v>2017.0</v>
      </c>
      <c r="O2" s="136">
        <v>38.37</v>
      </c>
      <c r="P2" s="139">
        <f>O2*3.412*10^6</f>
        <v>130918440</v>
      </c>
    </row>
    <row r="3">
      <c r="A3" s="5" t="s">
        <v>236</v>
      </c>
      <c r="B3" s="5">
        <v>3.412</v>
      </c>
      <c r="G3" s="135">
        <v>2017.0</v>
      </c>
      <c r="H3" s="137">
        <v>343972.2</v>
      </c>
      <c r="I3" s="138">
        <f t="shared" si="1"/>
        <v>34388999064</v>
      </c>
      <c r="J3" s="137"/>
      <c r="K3" s="137"/>
      <c r="L3" s="137"/>
    </row>
    <row r="4">
      <c r="A4" s="5" t="s">
        <v>237</v>
      </c>
      <c r="B4" s="5">
        <v>3412000.0</v>
      </c>
      <c r="G4" s="135">
        <v>2018.0</v>
      </c>
      <c r="H4" s="137">
        <v>390695.0</v>
      </c>
      <c r="I4" s="138">
        <f t="shared" si="1"/>
        <v>39060162390</v>
      </c>
      <c r="J4" s="135">
        <v>79.03</v>
      </c>
      <c r="K4" s="138">
        <f>J4*3.412*10^6</f>
        <v>269650360</v>
      </c>
      <c r="L4" s="138">
        <f>I4+K4</f>
        <v>39329812750</v>
      </c>
    </row>
    <row r="5">
      <c r="A5" s="67"/>
      <c r="G5" s="135" t="s">
        <v>238</v>
      </c>
      <c r="H5" s="137"/>
      <c r="I5" s="138">
        <f>(I4/1000000)*B9</f>
        <v>4687219.487</v>
      </c>
      <c r="J5" s="137"/>
      <c r="K5" s="137"/>
      <c r="L5" s="137"/>
    </row>
    <row r="6">
      <c r="A6" s="67"/>
      <c r="G6" s="135" t="s">
        <v>239</v>
      </c>
      <c r="H6" s="137"/>
      <c r="I6" s="137">
        <f>I5/2000</f>
        <v>2343.609743</v>
      </c>
      <c r="J6" s="137"/>
      <c r="K6" s="137"/>
      <c r="L6" s="137"/>
    </row>
    <row r="7">
      <c r="J7" s="137"/>
      <c r="K7" s="137"/>
      <c r="L7" s="137"/>
    </row>
    <row r="8">
      <c r="A8" s="5" t="s">
        <v>240</v>
      </c>
      <c r="B8" s="140">
        <v>0.0013</v>
      </c>
    </row>
    <row r="9">
      <c r="A9" s="5" t="s">
        <v>241</v>
      </c>
      <c r="B9" s="5">
        <v>120.0</v>
      </c>
      <c r="C9" s="5" t="s">
        <v>242</v>
      </c>
    </row>
    <row r="10">
      <c r="A10" s="5" t="s">
        <v>243</v>
      </c>
      <c r="B10" s="5">
        <v>21.0</v>
      </c>
      <c r="C10" s="5" t="s">
        <v>244</v>
      </c>
    </row>
    <row r="12">
      <c r="A12" s="67" t="s">
        <v>245</v>
      </c>
      <c r="B12" s="5" t="s">
        <v>246</v>
      </c>
      <c r="C12" s="5" t="s">
        <v>247</v>
      </c>
      <c r="G12" s="141" t="s">
        <v>248</v>
      </c>
      <c r="H12" s="142"/>
      <c r="I12" s="142"/>
      <c r="J12" s="142"/>
      <c r="K12" s="142"/>
      <c r="L12" s="142"/>
      <c r="N12" s="143" t="s">
        <v>249</v>
      </c>
      <c r="O12" s="144"/>
    </row>
    <row r="13">
      <c r="A13" s="5" t="s">
        <v>250</v>
      </c>
      <c r="C13" s="5">
        <v>0.8</v>
      </c>
      <c r="G13" s="145" t="s">
        <v>251</v>
      </c>
      <c r="H13" s="142">
        <f>H16/H15</f>
        <v>4</v>
      </c>
      <c r="I13" s="145" t="s">
        <v>252</v>
      </c>
      <c r="J13" s="142">
        <f>J15/J16</f>
        <v>1.442307692</v>
      </c>
      <c r="K13" s="145" t="s">
        <v>253</v>
      </c>
      <c r="L13" s="145">
        <v>2.8</v>
      </c>
      <c r="N13" s="146" t="s">
        <v>254</v>
      </c>
      <c r="O13" s="146">
        <v>4.5</v>
      </c>
    </row>
    <row r="14">
      <c r="A14" s="5" t="s">
        <v>255</v>
      </c>
      <c r="B14" s="5">
        <v>2.2</v>
      </c>
      <c r="C14" s="5">
        <v>3.8</v>
      </c>
      <c r="G14" s="145"/>
      <c r="H14" s="145"/>
      <c r="I14" s="145"/>
      <c r="J14" s="145"/>
      <c r="K14" s="145"/>
      <c r="L14" s="145"/>
      <c r="N14" s="146" t="s">
        <v>256</v>
      </c>
      <c r="O14" s="146">
        <f>15/3.41</f>
        <v>4.398826979</v>
      </c>
    </row>
    <row r="15">
      <c r="A15" s="5" t="s">
        <v>257</v>
      </c>
      <c r="B15" s="5">
        <v>3.0</v>
      </c>
      <c r="C15" s="5">
        <v>3.0</v>
      </c>
      <c r="G15" s="145" t="s">
        <v>258</v>
      </c>
      <c r="H15" s="145">
        <v>0.8</v>
      </c>
      <c r="I15" s="145" t="s">
        <v>256</v>
      </c>
      <c r="J15" s="145">
        <f>15/3.41</f>
        <v>4.398826979</v>
      </c>
      <c r="K15" s="145" t="s">
        <v>259</v>
      </c>
      <c r="L15" s="145" t="s">
        <v>260</v>
      </c>
      <c r="N15" s="146" t="s">
        <v>253</v>
      </c>
      <c r="O15" s="146">
        <v>5.0</v>
      </c>
    </row>
    <row r="16">
      <c r="G16" s="145" t="s">
        <v>254</v>
      </c>
      <c r="H16" s="145">
        <v>3.2</v>
      </c>
      <c r="I16" s="145" t="s">
        <v>261</v>
      </c>
      <c r="J16" s="142">
        <f>10.4/3.41</f>
        <v>3.049853372</v>
      </c>
      <c r="K16" s="142"/>
      <c r="L16" s="142"/>
      <c r="N16" s="146" t="s">
        <v>259</v>
      </c>
      <c r="O16" s="146">
        <v>22.0</v>
      </c>
    </row>
    <row r="17">
      <c r="J17" s="147"/>
    </row>
    <row r="19">
      <c r="A19" s="67" t="s">
        <v>262</v>
      </c>
      <c r="C19" s="77" t="s">
        <v>101</v>
      </c>
      <c r="D19" s="77" t="s">
        <v>102</v>
      </c>
      <c r="E19" s="77" t="s">
        <v>103</v>
      </c>
      <c r="F19" s="77" t="s">
        <v>104</v>
      </c>
      <c r="G19" s="77" t="s">
        <v>105</v>
      </c>
      <c r="H19" s="77" t="s">
        <v>106</v>
      </c>
      <c r="I19" s="77" t="s">
        <v>107</v>
      </c>
      <c r="J19" s="77" t="s">
        <v>108</v>
      </c>
      <c r="K19" s="77" t="s">
        <v>109</v>
      </c>
      <c r="L19" s="77" t="s">
        <v>110</v>
      </c>
      <c r="M19" s="77" t="s">
        <v>111</v>
      </c>
      <c r="N19" s="77" t="s">
        <v>112</v>
      </c>
    </row>
    <row r="20">
      <c r="A20" s="5" t="s">
        <v>263</v>
      </c>
      <c r="B20" s="148"/>
      <c r="C20" s="149">
        <v>21.0</v>
      </c>
      <c r="D20" s="150">
        <v>25.0</v>
      </c>
      <c r="E20" s="150">
        <v>34.0</v>
      </c>
      <c r="F20" s="150">
        <v>42.0</v>
      </c>
      <c r="G20" s="150">
        <v>55.0</v>
      </c>
      <c r="H20" s="150">
        <v>65.0</v>
      </c>
      <c r="I20" s="150">
        <v>69.0</v>
      </c>
      <c r="J20" s="150">
        <v>70.0</v>
      </c>
      <c r="K20" s="150">
        <v>60.0</v>
      </c>
      <c r="L20" s="150">
        <v>49.0</v>
      </c>
      <c r="M20" s="150">
        <v>37.75</v>
      </c>
      <c r="N20" s="94">
        <v>28.0</v>
      </c>
      <c r="O20" s="70"/>
    </row>
    <row r="21">
      <c r="A21" s="5" t="s">
        <v>264</v>
      </c>
      <c r="B21" s="148"/>
      <c r="C21" s="148">
        <f t="shared" ref="C21:N21" si="2">(C20-32)*(5/9)</f>
        <v>-6.111111111</v>
      </c>
      <c r="D21" s="148">
        <f t="shared" si="2"/>
        <v>-3.888888889</v>
      </c>
      <c r="E21" s="148">
        <f t="shared" si="2"/>
        <v>1.111111111</v>
      </c>
      <c r="F21" s="148">
        <f t="shared" si="2"/>
        <v>5.555555556</v>
      </c>
      <c r="G21" s="148">
        <f t="shared" si="2"/>
        <v>12.77777778</v>
      </c>
      <c r="H21" s="148">
        <f t="shared" si="2"/>
        <v>18.33333333</v>
      </c>
      <c r="I21" s="148">
        <f t="shared" si="2"/>
        <v>20.55555556</v>
      </c>
      <c r="J21" s="148">
        <f t="shared" si="2"/>
        <v>21.11111111</v>
      </c>
      <c r="K21" s="148">
        <f t="shared" si="2"/>
        <v>15.55555556</v>
      </c>
      <c r="L21" s="148">
        <f t="shared" si="2"/>
        <v>9.444444444</v>
      </c>
      <c r="M21" s="148">
        <f t="shared" si="2"/>
        <v>3.194444444</v>
      </c>
      <c r="N21" s="148">
        <f t="shared" si="2"/>
        <v>-2.222222222</v>
      </c>
      <c r="O21" s="70"/>
    </row>
    <row r="22">
      <c r="A22" s="5" t="s">
        <v>265</v>
      </c>
      <c r="B22" s="148"/>
      <c r="C22" s="148">
        <f t="shared" ref="C22:N22" si="3">ABS(C21-$B$10)</f>
        <v>27.11111111</v>
      </c>
      <c r="D22" s="148">
        <f t="shared" si="3"/>
        <v>24.88888889</v>
      </c>
      <c r="E22" s="148">
        <f t="shared" si="3"/>
        <v>19.88888889</v>
      </c>
      <c r="F22" s="148">
        <f t="shared" si="3"/>
        <v>15.44444444</v>
      </c>
      <c r="G22" s="148">
        <f t="shared" si="3"/>
        <v>8.222222222</v>
      </c>
      <c r="H22" s="148">
        <f t="shared" si="3"/>
        <v>2.666666667</v>
      </c>
      <c r="I22" s="148">
        <f t="shared" si="3"/>
        <v>0.4444444444</v>
      </c>
      <c r="J22" s="148">
        <f t="shared" si="3"/>
        <v>0.1111111111</v>
      </c>
      <c r="K22" s="148">
        <f t="shared" si="3"/>
        <v>5.444444444</v>
      </c>
      <c r="L22" s="148">
        <f t="shared" si="3"/>
        <v>11.55555556</v>
      </c>
      <c r="M22" s="148">
        <f t="shared" si="3"/>
        <v>17.80555556</v>
      </c>
      <c r="N22" s="148">
        <f t="shared" si="3"/>
        <v>23.22222222</v>
      </c>
      <c r="O22" s="70"/>
    </row>
    <row r="23"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70"/>
    </row>
    <row r="24">
      <c r="A24" s="5" t="s">
        <v>266</v>
      </c>
      <c r="B24" s="148"/>
      <c r="C24" s="150">
        <v>4.2</v>
      </c>
      <c r="D24" s="150">
        <v>4.4</v>
      </c>
      <c r="E24" s="150">
        <v>4.6</v>
      </c>
      <c r="F24" s="150">
        <v>5.4</v>
      </c>
      <c r="G24" s="150">
        <v>6.0</v>
      </c>
      <c r="H24" s="150">
        <v>7.0</v>
      </c>
      <c r="I24" s="150">
        <v>7.1</v>
      </c>
      <c r="J24" s="150">
        <v>7.2</v>
      </c>
      <c r="K24" s="150">
        <v>6.4</v>
      </c>
      <c r="L24" s="150">
        <v>6.0</v>
      </c>
      <c r="M24" s="150">
        <v>5.5</v>
      </c>
      <c r="N24" s="149">
        <v>4.7</v>
      </c>
      <c r="O24" s="70"/>
    </row>
    <row r="25">
      <c r="A25" s="5" t="s">
        <v>267</v>
      </c>
      <c r="B25" s="148"/>
      <c r="C25" s="149">
        <v>7.0</v>
      </c>
      <c r="D25" s="150">
        <v>7.0</v>
      </c>
      <c r="E25" s="150">
        <v>6.0</v>
      </c>
      <c r="F25" s="150">
        <v>5.8</v>
      </c>
      <c r="G25" s="150">
        <v>5.0</v>
      </c>
      <c r="H25" s="150">
        <v>3.8</v>
      </c>
      <c r="I25" s="150">
        <v>3.5</v>
      </c>
      <c r="J25" s="150">
        <v>3.3</v>
      </c>
      <c r="K25" s="150">
        <v>3.85</v>
      </c>
      <c r="L25" s="150">
        <v>4.4</v>
      </c>
      <c r="M25" s="150">
        <v>5.0</v>
      </c>
      <c r="N25" s="149">
        <v>6.5</v>
      </c>
      <c r="O25" s="70"/>
    </row>
    <row r="26">
      <c r="A26" s="5"/>
      <c r="B26" s="148"/>
      <c r="C26" s="148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48"/>
      <c r="O26" s="70"/>
    </row>
    <row r="27">
      <c r="A27" s="5" t="s">
        <v>268</v>
      </c>
      <c r="C27" s="5">
        <v>3.2</v>
      </c>
      <c r="D27" s="5">
        <v>3.6</v>
      </c>
      <c r="E27" s="5">
        <v>4.4</v>
      </c>
      <c r="F27" s="5">
        <v>5.1</v>
      </c>
      <c r="G27" s="5">
        <v>5.5</v>
      </c>
      <c r="H27" s="5">
        <v>6.2</v>
      </c>
      <c r="I27" s="5">
        <v>6.4</v>
      </c>
      <c r="J27" s="5">
        <v>6.4</v>
      </c>
      <c r="K27" s="5">
        <v>6.0</v>
      </c>
      <c r="L27" s="5">
        <v>5.6</v>
      </c>
      <c r="M27" s="5">
        <v>4.5</v>
      </c>
      <c r="N27" s="5">
        <v>4.2</v>
      </c>
    </row>
    <row r="28">
      <c r="A28" s="5" t="s">
        <v>269</v>
      </c>
    </row>
    <row r="34">
      <c r="A34" s="5" t="s">
        <v>231</v>
      </c>
      <c r="B34" s="148"/>
      <c r="C34" s="148">
        <v>57661.9</v>
      </c>
      <c r="D34" s="151">
        <v>58049.9</v>
      </c>
      <c r="E34" s="151">
        <v>45718.4</v>
      </c>
      <c r="F34" s="151">
        <v>55564.6</v>
      </c>
      <c r="G34" s="151">
        <v>22542.5</v>
      </c>
      <c r="H34" s="151">
        <v>14827.3</v>
      </c>
      <c r="I34" s="151">
        <v>5728.6</v>
      </c>
      <c r="J34" s="151">
        <v>3768.2</v>
      </c>
      <c r="K34" s="151">
        <v>8487.8</v>
      </c>
      <c r="L34" s="151">
        <v>13412.8</v>
      </c>
      <c r="M34" s="151">
        <v>18451.8</v>
      </c>
      <c r="N34" s="148">
        <v>39758.4</v>
      </c>
      <c r="O34" s="69">
        <f>SUM(C34:N34)</f>
        <v>343972.2</v>
      </c>
    </row>
    <row r="36">
      <c r="A36" s="5" t="s">
        <v>270</v>
      </c>
      <c r="B36" s="14"/>
      <c r="C36" s="14">
        <f t="shared" ref="C36:O36" si="4">C34*99976.1/$B$2</f>
        <v>5764.811881</v>
      </c>
      <c r="D36" s="14">
        <f t="shared" si="4"/>
        <v>5803.602607</v>
      </c>
      <c r="E36" s="14">
        <f t="shared" si="4"/>
        <v>4570.74733</v>
      </c>
      <c r="F36" s="14">
        <f t="shared" si="4"/>
        <v>5555.132006</v>
      </c>
      <c r="G36" s="14">
        <f t="shared" si="4"/>
        <v>2253.711234</v>
      </c>
      <c r="H36" s="14">
        <f t="shared" si="4"/>
        <v>1482.375628</v>
      </c>
      <c r="I36" s="14">
        <f t="shared" si="4"/>
        <v>572.7230865</v>
      </c>
      <c r="J36" s="14">
        <f t="shared" si="4"/>
        <v>376.72994</v>
      </c>
      <c r="K36" s="14">
        <f t="shared" si="4"/>
        <v>848.5771416</v>
      </c>
      <c r="L36" s="14">
        <f t="shared" si="4"/>
        <v>1340.959434</v>
      </c>
      <c r="M36" s="14">
        <f t="shared" si="4"/>
        <v>1844.739002</v>
      </c>
      <c r="N36" s="14">
        <f t="shared" si="4"/>
        <v>3974.889774</v>
      </c>
      <c r="O36" s="14">
        <f t="shared" si="4"/>
        <v>34388.99906</v>
      </c>
    </row>
    <row r="37">
      <c r="A37" s="5" t="s">
        <v>271</v>
      </c>
      <c r="B37" s="14"/>
      <c r="C37" s="14">
        <f>C36/$H$13</f>
        <v>1441.20297</v>
      </c>
      <c r="D37" s="14">
        <f t="shared" ref="D37:N37" si="5">D36/$H$16</f>
        <v>1813.625815</v>
      </c>
      <c r="E37" s="14">
        <f t="shared" si="5"/>
        <v>1428.358541</v>
      </c>
      <c r="F37" s="14">
        <f t="shared" si="5"/>
        <v>1735.978752</v>
      </c>
      <c r="G37" s="14">
        <f t="shared" si="5"/>
        <v>704.2847607</v>
      </c>
      <c r="H37" s="14">
        <f t="shared" si="5"/>
        <v>463.2423836</v>
      </c>
      <c r="I37" s="14">
        <f t="shared" si="5"/>
        <v>178.9759645</v>
      </c>
      <c r="J37" s="14">
        <f t="shared" si="5"/>
        <v>117.7281063</v>
      </c>
      <c r="K37" s="14">
        <f t="shared" si="5"/>
        <v>265.1803567</v>
      </c>
      <c r="L37" s="14">
        <f t="shared" si="5"/>
        <v>419.0498232</v>
      </c>
      <c r="M37" s="14">
        <f t="shared" si="5"/>
        <v>576.4809381</v>
      </c>
      <c r="N37" s="14">
        <f t="shared" si="5"/>
        <v>1242.153054</v>
      </c>
      <c r="O37" s="69">
        <f t="shared" ref="O37:O38" si="8">SUM(C37:N37)</f>
        <v>10386.26147</v>
      </c>
    </row>
    <row r="38">
      <c r="A38" s="5" t="s">
        <v>272</v>
      </c>
      <c r="B38" s="14"/>
      <c r="C38" s="14">
        <f t="shared" ref="C38:D38" si="6">((C36)*$B9)/2000</f>
        <v>345.8887128</v>
      </c>
      <c r="D38" s="14">
        <f t="shared" si="6"/>
        <v>348.2161564</v>
      </c>
      <c r="E38" s="14">
        <f t="shared" ref="E38:N38" si="7">((E36/1000000)*$B9)/2000</f>
        <v>0.0002742448398</v>
      </c>
      <c r="F38" s="14">
        <f t="shared" si="7"/>
        <v>0.0003333079204</v>
      </c>
      <c r="G38" s="14">
        <f t="shared" si="7"/>
        <v>0.0001352226741</v>
      </c>
      <c r="H38" s="14">
        <f t="shared" si="7"/>
        <v>0.00008894253765</v>
      </c>
      <c r="I38" s="14">
        <f t="shared" si="7"/>
        <v>0.00003436338519</v>
      </c>
      <c r="J38" s="14">
        <f t="shared" si="7"/>
        <v>0.0000226037964</v>
      </c>
      <c r="K38" s="14">
        <f t="shared" si="7"/>
        <v>0.00005091462849</v>
      </c>
      <c r="L38" s="14">
        <f t="shared" si="7"/>
        <v>0.00008045756604</v>
      </c>
      <c r="M38" s="14">
        <f t="shared" si="7"/>
        <v>0.0001106843401</v>
      </c>
      <c r="N38" s="14">
        <f t="shared" si="7"/>
        <v>0.0002384933865</v>
      </c>
      <c r="O38" s="69">
        <f t="shared" si="8"/>
        <v>694.1062385</v>
      </c>
    </row>
    <row r="39">
      <c r="A39" s="5" t="s">
        <v>273</v>
      </c>
      <c r="B39" s="73"/>
      <c r="C39" s="73">
        <f t="shared" ref="C39:O39" si="9">C37/$B$3</f>
        <v>422.3924297</v>
      </c>
      <c r="D39" s="73">
        <f t="shared" si="9"/>
        <v>531.543322</v>
      </c>
      <c r="E39" s="73">
        <f t="shared" si="9"/>
        <v>418.6279428</v>
      </c>
      <c r="F39" s="73">
        <f t="shared" si="9"/>
        <v>508.7862696</v>
      </c>
      <c r="G39" s="73">
        <f t="shared" si="9"/>
        <v>206.4140565</v>
      </c>
      <c r="H39" s="73">
        <f t="shared" si="9"/>
        <v>135.7685767</v>
      </c>
      <c r="I39" s="73">
        <f t="shared" si="9"/>
        <v>52.45485478</v>
      </c>
      <c r="J39" s="73">
        <f t="shared" si="9"/>
        <v>34.50413431</v>
      </c>
      <c r="K39" s="73">
        <f t="shared" si="9"/>
        <v>77.71991698</v>
      </c>
      <c r="L39" s="73">
        <f t="shared" si="9"/>
        <v>122.8164781</v>
      </c>
      <c r="M39" s="73">
        <f t="shared" si="9"/>
        <v>168.9568986</v>
      </c>
      <c r="N39" s="73">
        <f t="shared" si="9"/>
        <v>364.0542364</v>
      </c>
      <c r="O39" s="73">
        <f t="shared" si="9"/>
        <v>3044.039116</v>
      </c>
    </row>
    <row r="40">
      <c r="A40" s="67" t="s">
        <v>274</v>
      </c>
      <c r="B40" s="78"/>
      <c r="C40" s="78">
        <f t="shared" ref="C40:O40" si="10">0.029*C34</f>
        <v>1672.1951</v>
      </c>
      <c r="D40" s="78">
        <f t="shared" si="10"/>
        <v>1683.4471</v>
      </c>
      <c r="E40" s="78">
        <f t="shared" si="10"/>
        <v>1325.8336</v>
      </c>
      <c r="F40" s="78">
        <f t="shared" si="10"/>
        <v>1611.3734</v>
      </c>
      <c r="G40" s="78">
        <f t="shared" si="10"/>
        <v>653.7325</v>
      </c>
      <c r="H40" s="78">
        <f t="shared" si="10"/>
        <v>429.9917</v>
      </c>
      <c r="I40" s="78">
        <f t="shared" si="10"/>
        <v>166.1294</v>
      </c>
      <c r="J40" s="78">
        <f t="shared" si="10"/>
        <v>109.2778</v>
      </c>
      <c r="K40" s="78">
        <f t="shared" si="10"/>
        <v>246.1462</v>
      </c>
      <c r="L40" s="78">
        <f t="shared" si="10"/>
        <v>388.9712</v>
      </c>
      <c r="M40" s="78">
        <f t="shared" si="10"/>
        <v>535.1022</v>
      </c>
      <c r="N40" s="78">
        <f t="shared" si="10"/>
        <v>1152.9936</v>
      </c>
      <c r="O40" s="78">
        <f t="shared" si="10"/>
        <v>9975.1938</v>
      </c>
    </row>
    <row r="41">
      <c r="A41" s="59"/>
      <c r="B41" s="15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0"/>
    </row>
    <row r="42">
      <c r="A42" s="59" t="s">
        <v>275</v>
      </c>
      <c r="B42" s="15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0"/>
    </row>
    <row r="43">
      <c r="A43" s="59" t="s">
        <v>9</v>
      </c>
      <c r="B43" s="152">
        <v>0.1339542607766528</v>
      </c>
      <c r="C43" s="66">
        <f t="shared" ref="C43:O43" si="11">C$36*$B$43</f>
        <v>772.221114</v>
      </c>
      <c r="D43" s="66">
        <f t="shared" si="11"/>
        <v>777.4172971</v>
      </c>
      <c r="E43" s="66">
        <f t="shared" si="11"/>
        <v>612.2710798</v>
      </c>
      <c r="F43" s="66">
        <f t="shared" si="11"/>
        <v>744.1336014</v>
      </c>
      <c r="G43" s="66">
        <f t="shared" si="11"/>
        <v>301.8942224</v>
      </c>
      <c r="H43" s="66">
        <f t="shared" si="11"/>
        <v>198.5705314</v>
      </c>
      <c r="I43" s="66">
        <f t="shared" si="11"/>
        <v>76.71869768</v>
      </c>
      <c r="J43" s="66">
        <f t="shared" si="11"/>
        <v>50.46458063</v>
      </c>
      <c r="K43" s="66">
        <f t="shared" si="11"/>
        <v>113.6705237</v>
      </c>
      <c r="L43" s="66">
        <f t="shared" si="11"/>
        <v>179.6272297</v>
      </c>
      <c r="M43" s="66">
        <f t="shared" si="11"/>
        <v>247.1106493</v>
      </c>
      <c r="N43" s="66">
        <f t="shared" si="11"/>
        <v>532.4534214</v>
      </c>
      <c r="O43" s="66">
        <f t="shared" si="11"/>
        <v>4606.552949</v>
      </c>
    </row>
    <row r="44">
      <c r="A44" s="59" t="s">
        <v>87</v>
      </c>
      <c r="B44" s="152">
        <v>0.007825423696084553</v>
      </c>
      <c r="C44" s="66">
        <f t="shared" ref="C44:O44" si="12">C$36*$B$44</f>
        <v>45.11209549</v>
      </c>
      <c r="D44" s="66">
        <f t="shared" si="12"/>
        <v>45.41564937</v>
      </c>
      <c r="E44" s="66">
        <f t="shared" si="12"/>
        <v>35.76803447</v>
      </c>
      <c r="F44" s="66">
        <f t="shared" si="12"/>
        <v>43.47126164</v>
      </c>
      <c r="G44" s="66">
        <f t="shared" si="12"/>
        <v>17.6362453</v>
      </c>
      <c r="H44" s="66">
        <f t="shared" si="12"/>
        <v>11.60021736</v>
      </c>
      <c r="I44" s="66">
        <f t="shared" si="12"/>
        <v>4.481800812</v>
      </c>
      <c r="J44" s="66">
        <f t="shared" si="12"/>
        <v>2.9480714</v>
      </c>
      <c r="K44" s="66">
        <f t="shared" si="12"/>
        <v>6.640475672</v>
      </c>
      <c r="L44" s="66">
        <f t="shared" si="12"/>
        <v>10.49357573</v>
      </c>
      <c r="M44" s="66">
        <f t="shared" si="12"/>
        <v>14.4358643</v>
      </c>
      <c r="N44" s="66">
        <f t="shared" si="12"/>
        <v>31.10519663</v>
      </c>
      <c r="O44" s="66">
        <f t="shared" si="12"/>
        <v>269.1084882</v>
      </c>
    </row>
    <row r="45">
      <c r="A45" s="59" t="s">
        <v>10</v>
      </c>
      <c r="B45" s="152">
        <v>0.08206154777000367</v>
      </c>
      <c r="C45" s="66">
        <f t="shared" ref="C45:O45" si="13">C$36*$B$45</f>
        <v>473.0693855</v>
      </c>
      <c r="D45" s="66">
        <f t="shared" si="13"/>
        <v>476.2526126</v>
      </c>
      <c r="E45" s="66">
        <f t="shared" si="13"/>
        <v>375.0826004</v>
      </c>
      <c r="F45" s="66">
        <f t="shared" si="13"/>
        <v>455.8627305</v>
      </c>
      <c r="G45" s="66">
        <f t="shared" si="13"/>
        <v>184.9430321</v>
      </c>
      <c r="H45" s="66">
        <f t="shared" si="13"/>
        <v>121.6460384</v>
      </c>
      <c r="I45" s="66">
        <f t="shared" si="13"/>
        <v>46.99854292</v>
      </c>
      <c r="J45" s="66">
        <f t="shared" si="13"/>
        <v>30.91504197</v>
      </c>
      <c r="K45" s="66">
        <f t="shared" si="13"/>
        <v>69.63555364</v>
      </c>
      <c r="L45" s="66">
        <f t="shared" si="13"/>
        <v>110.0412067</v>
      </c>
      <c r="M45" s="66">
        <f t="shared" si="13"/>
        <v>151.3821377</v>
      </c>
      <c r="N45" s="66">
        <f t="shared" si="13"/>
        <v>326.1856071</v>
      </c>
      <c r="O45" s="66">
        <f t="shared" si="13"/>
        <v>2822.014489</v>
      </c>
    </row>
    <row r="46">
      <c r="A46" s="59" t="s">
        <v>88</v>
      </c>
      <c r="B46" s="152">
        <v>0.059277222433203096</v>
      </c>
      <c r="C46" s="66">
        <f t="shared" ref="C46:O46" si="14">C$36*$B$46</f>
        <v>341.7220361</v>
      </c>
      <c r="D46" s="66">
        <f t="shared" si="14"/>
        <v>344.0214427</v>
      </c>
      <c r="E46" s="66">
        <f t="shared" si="14"/>
        <v>270.9412062</v>
      </c>
      <c r="F46" s="66">
        <f t="shared" si="14"/>
        <v>329.2927956</v>
      </c>
      <c r="G46" s="66">
        <f t="shared" si="14"/>
        <v>133.5937421</v>
      </c>
      <c r="H46" s="66">
        <f t="shared" si="14"/>
        <v>87.8711098</v>
      </c>
      <c r="I46" s="66">
        <f t="shared" si="14"/>
        <v>33.94943379</v>
      </c>
      <c r="J46" s="66">
        <f t="shared" si="14"/>
        <v>22.33150445</v>
      </c>
      <c r="K46" s="66">
        <f t="shared" si="14"/>
        <v>50.30129597</v>
      </c>
      <c r="L46" s="66">
        <f t="shared" si="14"/>
        <v>79.48835065</v>
      </c>
      <c r="M46" s="66">
        <f t="shared" si="14"/>
        <v>109.3510042</v>
      </c>
      <c r="N46" s="66">
        <f t="shared" si="14"/>
        <v>235.6204253</v>
      </c>
      <c r="O46" s="66">
        <f t="shared" si="14"/>
        <v>2038.484347</v>
      </c>
    </row>
    <row r="47">
      <c r="A47" s="59" t="s">
        <v>89</v>
      </c>
      <c r="B47" s="152">
        <v>0.03807149891541527</v>
      </c>
      <c r="C47" s="66">
        <f t="shared" ref="C47:O47" si="15">C$36*$B$47</f>
        <v>219.4750293</v>
      </c>
      <c r="D47" s="66">
        <f t="shared" si="15"/>
        <v>220.9518504</v>
      </c>
      <c r="E47" s="66">
        <f t="shared" si="15"/>
        <v>174.015202</v>
      </c>
      <c r="F47" s="66">
        <f t="shared" si="15"/>
        <v>211.4922021</v>
      </c>
      <c r="G47" s="66">
        <f t="shared" si="15"/>
        <v>85.80216481</v>
      </c>
      <c r="H47" s="66">
        <f t="shared" si="15"/>
        <v>56.4362621</v>
      </c>
      <c r="I47" s="66">
        <f t="shared" si="15"/>
        <v>21.80442636</v>
      </c>
      <c r="J47" s="66">
        <f t="shared" si="15"/>
        <v>14.3426735</v>
      </c>
      <c r="K47" s="66">
        <f t="shared" si="15"/>
        <v>32.30660373</v>
      </c>
      <c r="L47" s="66">
        <f t="shared" si="15"/>
        <v>51.05233564</v>
      </c>
      <c r="M47" s="66">
        <f t="shared" si="15"/>
        <v>70.23197891</v>
      </c>
      <c r="N47" s="66">
        <f t="shared" si="15"/>
        <v>151.3300117</v>
      </c>
      <c r="O47" s="66">
        <f t="shared" si="15"/>
        <v>1309.240741</v>
      </c>
    </row>
    <row r="48">
      <c r="A48" s="59" t="s">
        <v>90</v>
      </c>
      <c r="B48" s="152">
        <v>0.11366415849741567</v>
      </c>
      <c r="C48" s="66">
        <f t="shared" ref="C48:O48" si="16">C$36*$B$48</f>
        <v>655.2524913</v>
      </c>
      <c r="D48" s="66">
        <f t="shared" si="16"/>
        <v>659.6616066</v>
      </c>
      <c r="E48" s="66">
        <f t="shared" si="16"/>
        <v>519.530149</v>
      </c>
      <c r="F48" s="66">
        <f t="shared" si="16"/>
        <v>631.4194048</v>
      </c>
      <c r="G48" s="66">
        <f t="shared" si="16"/>
        <v>256.1661909</v>
      </c>
      <c r="H48" s="66">
        <f t="shared" si="16"/>
        <v>168.4929783</v>
      </c>
      <c r="I48" s="66">
        <f t="shared" si="16"/>
        <v>65.09808767</v>
      </c>
      <c r="J48" s="66">
        <f t="shared" si="16"/>
        <v>42.82069161</v>
      </c>
      <c r="K48" s="66">
        <f t="shared" si="16"/>
        <v>96.45280672</v>
      </c>
      <c r="L48" s="66">
        <f t="shared" si="16"/>
        <v>152.4190257</v>
      </c>
      <c r="M48" s="66">
        <f t="shared" si="16"/>
        <v>209.6807063</v>
      </c>
      <c r="N48" s="66">
        <f t="shared" si="16"/>
        <v>451.8025013</v>
      </c>
      <c r="O48" s="66">
        <f t="shared" si="16"/>
        <v>3908.79664</v>
      </c>
    </row>
    <row r="49">
      <c r="A49" s="59" t="s">
        <v>91</v>
      </c>
      <c r="B49" s="152">
        <v>0.0946082943376309</v>
      </c>
      <c r="C49" s="66">
        <f t="shared" ref="C49:O49" si="17">C$36*$B$49</f>
        <v>545.3990192</v>
      </c>
      <c r="D49" s="66">
        <f t="shared" si="17"/>
        <v>549.0689437</v>
      </c>
      <c r="E49" s="66">
        <f t="shared" si="17"/>
        <v>432.4306088</v>
      </c>
      <c r="F49" s="66">
        <f t="shared" si="17"/>
        <v>525.5615639</v>
      </c>
      <c r="G49" s="66">
        <f t="shared" si="17"/>
        <v>213.2197758</v>
      </c>
      <c r="H49" s="66">
        <f t="shared" si="17"/>
        <v>140.2450297</v>
      </c>
      <c r="I49" s="66">
        <f t="shared" si="17"/>
        <v>54.18435434</v>
      </c>
      <c r="J49" s="66">
        <f t="shared" si="17"/>
        <v>35.64177705</v>
      </c>
      <c r="K49" s="66">
        <f t="shared" si="17"/>
        <v>80.28243598</v>
      </c>
      <c r="L49" s="66">
        <f t="shared" si="17"/>
        <v>126.8658848</v>
      </c>
      <c r="M49" s="66">
        <f t="shared" si="17"/>
        <v>174.5276105</v>
      </c>
      <c r="N49" s="66">
        <f t="shared" si="17"/>
        <v>376.0575417</v>
      </c>
      <c r="O49" s="66">
        <f t="shared" si="17"/>
        <v>3253.484545</v>
      </c>
    </row>
    <row r="50">
      <c r="A50" s="59" t="s">
        <v>92</v>
      </c>
      <c r="B50" s="152">
        <v>0.07916181231856538</v>
      </c>
      <c r="C50" s="66">
        <f t="shared" ref="C50:O50" si="18">C$36*$B$50</f>
        <v>456.3529561</v>
      </c>
      <c r="D50" s="66">
        <f t="shared" si="18"/>
        <v>459.4237004</v>
      </c>
      <c r="E50" s="66">
        <f t="shared" si="18"/>
        <v>361.8286423</v>
      </c>
      <c r="F50" s="66">
        <f t="shared" si="18"/>
        <v>439.7543173</v>
      </c>
      <c r="G50" s="66">
        <f t="shared" si="18"/>
        <v>178.4078657</v>
      </c>
      <c r="H50" s="66">
        <f t="shared" si="18"/>
        <v>117.3475412</v>
      </c>
      <c r="I50" s="66">
        <f t="shared" si="18"/>
        <v>45.33779748</v>
      </c>
      <c r="J50" s="66">
        <f t="shared" si="18"/>
        <v>29.82262481</v>
      </c>
      <c r="K50" s="66">
        <f t="shared" si="18"/>
        <v>67.17490442</v>
      </c>
      <c r="L50" s="66">
        <f t="shared" si="18"/>
        <v>106.152779</v>
      </c>
      <c r="M50" s="66">
        <f t="shared" si="18"/>
        <v>146.0328827</v>
      </c>
      <c r="N50" s="66">
        <f t="shared" si="18"/>
        <v>314.6594783</v>
      </c>
      <c r="O50" s="66">
        <f t="shared" si="18"/>
        <v>2722.29549</v>
      </c>
    </row>
    <row r="51">
      <c r="A51" s="59" t="s">
        <v>93</v>
      </c>
      <c r="B51" s="153">
        <v>0.057930341982118834</v>
      </c>
      <c r="C51" s="66">
        <f t="shared" ref="C51:O51" si="19">C$36*$B$51</f>
        <v>333.9575237</v>
      </c>
      <c r="D51" s="66">
        <f t="shared" si="19"/>
        <v>336.2046838</v>
      </c>
      <c r="E51" s="66">
        <f t="shared" si="19"/>
        <v>264.784956</v>
      </c>
      <c r="F51" s="66">
        <f t="shared" si="19"/>
        <v>321.8106969</v>
      </c>
      <c r="G51" s="66">
        <f t="shared" si="19"/>
        <v>130.5582625</v>
      </c>
      <c r="H51" s="66">
        <f t="shared" si="19"/>
        <v>85.87452705</v>
      </c>
      <c r="I51" s="66">
        <f t="shared" si="19"/>
        <v>33.17804426</v>
      </c>
      <c r="J51" s="66">
        <f t="shared" si="19"/>
        <v>21.82409426</v>
      </c>
      <c r="K51" s="66">
        <f t="shared" si="19"/>
        <v>49.15836401</v>
      </c>
      <c r="L51" s="66">
        <f t="shared" si="19"/>
        <v>77.6822386</v>
      </c>
      <c r="M51" s="66">
        <f t="shared" si="19"/>
        <v>106.8663613</v>
      </c>
      <c r="N51" s="66">
        <f t="shared" si="19"/>
        <v>230.266724</v>
      </c>
      <c r="O51" s="66">
        <f t="shared" si="19"/>
        <v>1992.166476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</row>
    <row r="52">
      <c r="A52" s="59" t="s">
        <v>94</v>
      </c>
      <c r="B52" s="152">
        <v>0.057809653769656084</v>
      </c>
      <c r="C52" s="66">
        <f t="shared" ref="C52:O52" si="20">C$36*$B$52</f>
        <v>333.2617789</v>
      </c>
      <c r="D52" s="66">
        <f t="shared" si="20"/>
        <v>335.5042573</v>
      </c>
      <c r="E52" s="66">
        <f t="shared" si="20"/>
        <v>264.2333206</v>
      </c>
      <c r="F52" s="66">
        <f t="shared" si="20"/>
        <v>321.1402579</v>
      </c>
      <c r="G52" s="66">
        <f t="shared" si="20"/>
        <v>130.2862661</v>
      </c>
      <c r="H52" s="66">
        <f t="shared" si="20"/>
        <v>85.69562178</v>
      </c>
      <c r="I52" s="66">
        <f t="shared" si="20"/>
        <v>33.10892333</v>
      </c>
      <c r="J52" s="66">
        <f t="shared" si="20"/>
        <v>21.7786274</v>
      </c>
      <c r="K52" s="66">
        <f t="shared" si="20"/>
        <v>49.05595075</v>
      </c>
      <c r="L52" s="66">
        <f t="shared" si="20"/>
        <v>77.5204006</v>
      </c>
      <c r="M52" s="66">
        <f t="shared" si="20"/>
        <v>106.643723</v>
      </c>
      <c r="N52" s="66">
        <f t="shared" si="20"/>
        <v>229.7870016</v>
      </c>
      <c r="O52" s="66">
        <f t="shared" si="20"/>
        <v>1988.016129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</row>
    <row r="53">
      <c r="A53" s="59" t="s">
        <v>95</v>
      </c>
      <c r="B53" s="152">
        <v>0.016597042977877046</v>
      </c>
      <c r="C53" s="66">
        <f t="shared" ref="C53:O53" si="21">C$36*$B$53</f>
        <v>95.67883054</v>
      </c>
      <c r="D53" s="66">
        <f t="shared" si="21"/>
        <v>96.3226419</v>
      </c>
      <c r="E53" s="66">
        <f t="shared" si="21"/>
        <v>75.86088988</v>
      </c>
      <c r="F53" s="66">
        <f t="shared" si="21"/>
        <v>92.19876465</v>
      </c>
      <c r="G53" s="66">
        <f t="shared" si="21"/>
        <v>37.40494221</v>
      </c>
      <c r="H53" s="66">
        <f t="shared" si="21"/>
        <v>24.603052</v>
      </c>
      <c r="I53" s="66">
        <f t="shared" si="21"/>
        <v>9.50550968</v>
      </c>
      <c r="J53" s="66">
        <f t="shared" si="21"/>
        <v>6.252603006</v>
      </c>
      <c r="K53" s="66">
        <f t="shared" si="21"/>
        <v>14.08387129</v>
      </c>
      <c r="L53" s="66">
        <f t="shared" si="21"/>
        <v>22.25596136</v>
      </c>
      <c r="M53" s="66">
        <f t="shared" si="21"/>
        <v>30.6172125</v>
      </c>
      <c r="N53" s="66">
        <f t="shared" si="21"/>
        <v>65.97141642</v>
      </c>
      <c r="O53" s="66">
        <f t="shared" si="21"/>
        <v>570.7556954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</row>
    <row r="54">
      <c r="A54" s="59" t="s">
        <v>96</v>
      </c>
      <c r="B54" s="152">
        <v>0.1178254880631312</v>
      </c>
      <c r="C54" s="66">
        <f t="shared" ref="C54:O54" si="22">C$36*$B$50</f>
        <v>456.3529561</v>
      </c>
      <c r="D54" s="66">
        <f t="shared" si="22"/>
        <v>459.4237004</v>
      </c>
      <c r="E54" s="66">
        <f t="shared" si="22"/>
        <v>361.8286423</v>
      </c>
      <c r="F54" s="66">
        <f t="shared" si="22"/>
        <v>439.7543173</v>
      </c>
      <c r="G54" s="66">
        <f t="shared" si="22"/>
        <v>178.4078657</v>
      </c>
      <c r="H54" s="66">
        <f t="shared" si="22"/>
        <v>117.3475412</v>
      </c>
      <c r="I54" s="66">
        <f t="shared" si="22"/>
        <v>45.33779748</v>
      </c>
      <c r="J54" s="66">
        <f t="shared" si="22"/>
        <v>29.82262481</v>
      </c>
      <c r="K54" s="66">
        <f t="shared" si="22"/>
        <v>67.17490442</v>
      </c>
      <c r="L54" s="66">
        <f t="shared" si="22"/>
        <v>106.152779</v>
      </c>
      <c r="M54" s="66">
        <f t="shared" si="22"/>
        <v>146.0328827</v>
      </c>
      <c r="N54" s="66">
        <f t="shared" si="22"/>
        <v>314.6594783</v>
      </c>
      <c r="O54" s="66">
        <f t="shared" si="22"/>
        <v>2722.29549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</row>
    <row r="55">
      <c r="A55" s="59" t="s">
        <v>97</v>
      </c>
      <c r="B55" s="152">
        <v>0.032408807986663145</v>
      </c>
      <c r="C55" s="66">
        <f t="shared" ref="C55:O55" si="23">C$36*$B$55</f>
        <v>186.8306813</v>
      </c>
      <c r="D55" s="66">
        <f t="shared" si="23"/>
        <v>188.0878425</v>
      </c>
      <c r="E55" s="66">
        <f t="shared" si="23"/>
        <v>148.1324726</v>
      </c>
      <c r="F55" s="66">
        <f t="shared" si="23"/>
        <v>180.0352065</v>
      </c>
      <c r="G55" s="66">
        <f t="shared" si="23"/>
        <v>73.04009465</v>
      </c>
      <c r="H55" s="66">
        <f t="shared" si="23"/>
        <v>48.04202708</v>
      </c>
      <c r="I55" s="66">
        <f t="shared" si="23"/>
        <v>18.56127254</v>
      </c>
      <c r="J55" s="66">
        <f t="shared" si="23"/>
        <v>12.20936829</v>
      </c>
      <c r="K55" s="66">
        <f t="shared" si="23"/>
        <v>27.50137364</v>
      </c>
      <c r="L55" s="66">
        <f t="shared" si="23"/>
        <v>43.45889682</v>
      </c>
      <c r="M55" s="66">
        <f t="shared" si="23"/>
        <v>59.7857921</v>
      </c>
      <c r="N55" s="66">
        <f t="shared" si="23"/>
        <v>128.8214395</v>
      </c>
      <c r="O55" s="66">
        <f t="shared" si="23"/>
        <v>1114.506468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</row>
    <row r="56">
      <c r="A56" s="59" t="s">
        <v>98</v>
      </c>
      <c r="B56" s="152">
        <v>0.07229384844135196</v>
      </c>
      <c r="C56" s="66">
        <f t="shared" ref="C56:O56" si="24">C$36*$B$56</f>
        <v>416.7604364</v>
      </c>
      <c r="D56" s="66">
        <f t="shared" si="24"/>
        <v>419.5647673</v>
      </c>
      <c r="E56" s="66">
        <f t="shared" si="24"/>
        <v>330.4369148</v>
      </c>
      <c r="F56" s="66">
        <f t="shared" si="24"/>
        <v>401.6018713</v>
      </c>
      <c r="G56" s="66">
        <f t="shared" si="24"/>
        <v>162.9294584</v>
      </c>
      <c r="H56" s="66">
        <f t="shared" si="24"/>
        <v>107.1666389</v>
      </c>
      <c r="I56" s="66">
        <f t="shared" si="24"/>
        <v>41.40435601</v>
      </c>
      <c r="J56" s="66">
        <f t="shared" si="24"/>
        <v>27.23525719</v>
      </c>
      <c r="K56" s="66">
        <f t="shared" si="24"/>
        <v>61.34690726</v>
      </c>
      <c r="L56" s="66">
        <f t="shared" si="24"/>
        <v>96.94311809</v>
      </c>
      <c r="M56" s="66">
        <f t="shared" si="24"/>
        <v>133.3632818</v>
      </c>
      <c r="N56" s="66">
        <f t="shared" si="24"/>
        <v>287.3600789</v>
      </c>
      <c r="O56" s="66">
        <f t="shared" si="24"/>
        <v>2486.113086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</row>
    <row r="57">
      <c r="A57" s="63" t="s">
        <v>99</v>
      </c>
      <c r="B57" s="154">
        <v>0.036510598034230395</v>
      </c>
      <c r="C57" s="66">
        <f t="shared" ref="C57:O57" si="25">C$36*$B$57</f>
        <v>210.4767293</v>
      </c>
      <c r="D57" s="66">
        <f t="shared" si="25"/>
        <v>211.8930019</v>
      </c>
      <c r="E57" s="66">
        <f t="shared" si="25"/>
        <v>166.8807185</v>
      </c>
      <c r="F57" s="66">
        <f t="shared" si="25"/>
        <v>202.8211917</v>
      </c>
      <c r="G57" s="66">
        <f t="shared" si="25"/>
        <v>82.28434496</v>
      </c>
      <c r="H57" s="66">
        <f t="shared" si="25"/>
        <v>54.12242067</v>
      </c>
      <c r="I57" s="66">
        <f t="shared" si="25"/>
        <v>20.91046239</v>
      </c>
      <c r="J57" s="66">
        <f t="shared" si="25"/>
        <v>13.75463541</v>
      </c>
      <c r="K57" s="66">
        <f t="shared" si="25"/>
        <v>30.98205892</v>
      </c>
      <c r="L57" s="66">
        <f t="shared" si="25"/>
        <v>48.95923088</v>
      </c>
      <c r="M57" s="66">
        <f t="shared" si="25"/>
        <v>67.35252418</v>
      </c>
      <c r="N57" s="66">
        <f t="shared" si="25"/>
        <v>145.1256028</v>
      </c>
      <c r="O57" s="66">
        <f t="shared" si="25"/>
        <v>1255.562922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</row>
    <row r="58"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0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</row>
    <row r="59"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</row>
    <row r="60">
      <c r="A60" s="155" t="s">
        <v>276</v>
      </c>
      <c r="B60" s="156"/>
      <c r="C60" s="77" t="s">
        <v>101</v>
      </c>
      <c r="D60" s="77" t="s">
        <v>102</v>
      </c>
      <c r="E60" s="77" t="s">
        <v>103</v>
      </c>
      <c r="F60" s="77" t="s">
        <v>104</v>
      </c>
      <c r="G60" s="77" t="s">
        <v>105</v>
      </c>
      <c r="H60" s="77" t="s">
        <v>106</v>
      </c>
      <c r="I60" s="77" t="s">
        <v>107</v>
      </c>
      <c r="J60" s="77" t="s">
        <v>108</v>
      </c>
      <c r="K60" s="77" t="s">
        <v>109</v>
      </c>
      <c r="L60" s="77" t="s">
        <v>110</v>
      </c>
      <c r="M60" s="77" t="s">
        <v>111</v>
      </c>
      <c r="N60" s="77" t="s">
        <v>112</v>
      </c>
      <c r="O60" s="5" t="s">
        <v>13</v>
      </c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</row>
    <row r="61">
      <c r="A61" s="157" t="s">
        <v>9</v>
      </c>
      <c r="B61" s="158">
        <v>0.1339542607766528</v>
      </c>
      <c r="C61" s="159">
        <f t="shared" ref="C61:C75" si="27">C$37*$B61</f>
        <v>193.0552785</v>
      </c>
      <c r="D61" s="159">
        <f t="shared" ref="D61:N61" si="26">D37*$B$61</f>
        <v>242.9429053</v>
      </c>
      <c r="E61" s="159">
        <f t="shared" si="26"/>
        <v>191.3347124</v>
      </c>
      <c r="F61" s="159">
        <f t="shared" si="26"/>
        <v>232.5417504</v>
      </c>
      <c r="G61" s="159">
        <f t="shared" si="26"/>
        <v>94.3419445</v>
      </c>
      <c r="H61" s="159">
        <f t="shared" si="26"/>
        <v>62.05329106</v>
      </c>
      <c r="I61" s="159">
        <f t="shared" si="26"/>
        <v>23.97459302</v>
      </c>
      <c r="J61" s="159">
        <f t="shared" si="26"/>
        <v>15.77018145</v>
      </c>
      <c r="K61" s="159">
        <f t="shared" si="26"/>
        <v>35.52203866</v>
      </c>
      <c r="L61" s="159">
        <f t="shared" si="26"/>
        <v>56.13350929</v>
      </c>
      <c r="M61" s="159">
        <f t="shared" si="26"/>
        <v>77.22207792</v>
      </c>
      <c r="N61" s="159">
        <f t="shared" si="26"/>
        <v>166.3916942</v>
      </c>
      <c r="O61" s="159">
        <f t="shared" ref="O61:O75" si="29">SUM(C61:N61)</f>
        <v>1391.283977</v>
      </c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</row>
    <row r="62">
      <c r="A62" s="157" t="s">
        <v>87</v>
      </c>
      <c r="B62" s="158">
        <v>0.007825423696084553</v>
      </c>
      <c r="C62" s="159">
        <f t="shared" si="27"/>
        <v>11.27802387</v>
      </c>
      <c r="D62" s="159">
        <f t="shared" ref="D62:N62" si="28">D$37*$B62</f>
        <v>14.19239043</v>
      </c>
      <c r="E62" s="159">
        <f t="shared" si="28"/>
        <v>11.17751077</v>
      </c>
      <c r="F62" s="159">
        <f t="shared" si="28"/>
        <v>13.58476926</v>
      </c>
      <c r="G62" s="159">
        <f t="shared" si="28"/>
        <v>5.511326655</v>
      </c>
      <c r="H62" s="159">
        <f t="shared" si="28"/>
        <v>3.625067926</v>
      </c>
      <c r="I62" s="159">
        <f t="shared" si="28"/>
        <v>1.400562754</v>
      </c>
      <c r="J62" s="159">
        <f t="shared" si="28"/>
        <v>0.9212723124</v>
      </c>
      <c r="K62" s="159">
        <f t="shared" si="28"/>
        <v>2.075148647</v>
      </c>
      <c r="L62" s="159">
        <f t="shared" si="28"/>
        <v>3.279242416</v>
      </c>
      <c r="M62" s="159">
        <f t="shared" si="28"/>
        <v>4.511207593</v>
      </c>
      <c r="N62" s="159">
        <f t="shared" si="28"/>
        <v>9.720373946</v>
      </c>
      <c r="O62" s="159">
        <f t="shared" si="29"/>
        <v>81.27689658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</row>
    <row r="63">
      <c r="A63" s="157" t="s">
        <v>10</v>
      </c>
      <c r="B63" s="158">
        <v>0.08206154777000367</v>
      </c>
      <c r="C63" s="159">
        <f t="shared" si="27"/>
        <v>118.2673464</v>
      </c>
      <c r="D63" s="159">
        <f t="shared" ref="D63:N63" si="30">D$37*$B63</f>
        <v>148.8289414</v>
      </c>
      <c r="E63" s="159">
        <f t="shared" si="30"/>
        <v>117.2133126</v>
      </c>
      <c r="F63" s="159">
        <f t="shared" si="30"/>
        <v>142.4571033</v>
      </c>
      <c r="G63" s="159">
        <f t="shared" si="30"/>
        <v>57.79469753</v>
      </c>
      <c r="H63" s="159">
        <f t="shared" si="30"/>
        <v>38.01438699</v>
      </c>
      <c r="I63" s="159">
        <f t="shared" si="30"/>
        <v>14.68704466</v>
      </c>
      <c r="J63" s="159">
        <f t="shared" si="30"/>
        <v>9.660950615</v>
      </c>
      <c r="K63" s="159">
        <f t="shared" si="30"/>
        <v>21.76111051</v>
      </c>
      <c r="L63" s="159">
        <f t="shared" si="30"/>
        <v>34.38787708</v>
      </c>
      <c r="M63" s="159">
        <f t="shared" si="30"/>
        <v>47.30691804</v>
      </c>
      <c r="N63" s="159">
        <f t="shared" si="30"/>
        <v>101.9330022</v>
      </c>
      <c r="O63" s="159">
        <f t="shared" si="29"/>
        <v>852.3126914</v>
      </c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</row>
    <row r="64">
      <c r="A64" s="157" t="s">
        <v>88</v>
      </c>
      <c r="B64" s="158">
        <v>0.059277222433203096</v>
      </c>
      <c r="C64" s="159">
        <f t="shared" si="27"/>
        <v>85.43050903</v>
      </c>
      <c r="D64" s="159">
        <f t="shared" ref="D64:N64" si="31">D$37*$B64</f>
        <v>107.5067008</v>
      </c>
      <c r="E64" s="159">
        <f t="shared" si="31"/>
        <v>84.66912693</v>
      </c>
      <c r="F64" s="159">
        <f t="shared" si="31"/>
        <v>102.9039986</v>
      </c>
      <c r="G64" s="159">
        <f t="shared" si="31"/>
        <v>41.74804442</v>
      </c>
      <c r="H64" s="159">
        <f t="shared" si="31"/>
        <v>27.45972181</v>
      </c>
      <c r="I64" s="159">
        <f t="shared" si="31"/>
        <v>10.60919806</v>
      </c>
      <c r="J64" s="159">
        <f t="shared" si="31"/>
        <v>6.978595141</v>
      </c>
      <c r="K64" s="159">
        <f t="shared" si="31"/>
        <v>15.71915499</v>
      </c>
      <c r="L64" s="159">
        <f t="shared" si="31"/>
        <v>24.84010958</v>
      </c>
      <c r="M64" s="159">
        <f t="shared" si="31"/>
        <v>34.1721888</v>
      </c>
      <c r="N64" s="159">
        <f t="shared" si="31"/>
        <v>73.6313829</v>
      </c>
      <c r="O64" s="159">
        <f t="shared" si="29"/>
        <v>615.6687311</v>
      </c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</row>
    <row r="65">
      <c r="A65" s="157" t="s">
        <v>89</v>
      </c>
      <c r="B65" s="158">
        <v>0.03807149891541527</v>
      </c>
      <c r="C65" s="159">
        <f t="shared" si="27"/>
        <v>54.86875731</v>
      </c>
      <c r="D65" s="159">
        <f t="shared" ref="D65:N65" si="32">D$37*$B65</f>
        <v>69.04745324</v>
      </c>
      <c r="E65" s="159">
        <f t="shared" si="32"/>
        <v>54.37975063</v>
      </c>
      <c r="F65" s="159">
        <f t="shared" si="32"/>
        <v>66.09131317</v>
      </c>
      <c r="G65" s="159">
        <f t="shared" si="32"/>
        <v>26.8131765</v>
      </c>
      <c r="H65" s="159">
        <f t="shared" si="32"/>
        <v>17.6363319</v>
      </c>
      <c r="I65" s="159">
        <f t="shared" si="32"/>
        <v>6.813883239</v>
      </c>
      <c r="J65" s="159">
        <f t="shared" si="32"/>
        <v>4.48208547</v>
      </c>
      <c r="K65" s="159">
        <f t="shared" si="32"/>
        <v>10.09581366</v>
      </c>
      <c r="L65" s="159">
        <f t="shared" si="32"/>
        <v>15.95385489</v>
      </c>
      <c r="M65" s="159">
        <f t="shared" si="32"/>
        <v>21.94749341</v>
      </c>
      <c r="N65" s="159">
        <f t="shared" si="32"/>
        <v>47.29062867</v>
      </c>
      <c r="O65" s="159">
        <f t="shared" si="29"/>
        <v>395.4205421</v>
      </c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</row>
    <row r="66">
      <c r="A66" s="157" t="s">
        <v>90</v>
      </c>
      <c r="B66" s="158">
        <v>0.11366415849741567</v>
      </c>
      <c r="C66" s="159">
        <f t="shared" si="27"/>
        <v>163.8131228</v>
      </c>
      <c r="D66" s="159">
        <f t="shared" ref="D66:N66" si="33">D$37*$B66</f>
        <v>206.1442521</v>
      </c>
      <c r="E66" s="159">
        <f t="shared" si="33"/>
        <v>162.3531716</v>
      </c>
      <c r="F66" s="159">
        <f t="shared" si="33"/>
        <v>197.318564</v>
      </c>
      <c r="G66" s="159">
        <f t="shared" si="33"/>
        <v>80.05193467</v>
      </c>
      <c r="H66" s="159">
        <f t="shared" si="33"/>
        <v>52.65405571</v>
      </c>
      <c r="I66" s="159">
        <f t="shared" si="33"/>
        <v>20.3431524</v>
      </c>
      <c r="J66" s="159">
        <f t="shared" si="33"/>
        <v>13.38146613</v>
      </c>
      <c r="K66" s="159">
        <f t="shared" si="33"/>
        <v>30.1415021</v>
      </c>
      <c r="L66" s="159">
        <f t="shared" si="33"/>
        <v>47.63094552</v>
      </c>
      <c r="M66" s="159">
        <f t="shared" si="33"/>
        <v>65.52522072</v>
      </c>
      <c r="N66" s="159">
        <f t="shared" si="33"/>
        <v>141.1882817</v>
      </c>
      <c r="O66" s="159">
        <f t="shared" si="29"/>
        <v>1180.545669</v>
      </c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</row>
    <row r="67">
      <c r="A67" s="157" t="s">
        <v>91</v>
      </c>
      <c r="B67" s="158">
        <v>0.0946082943376309</v>
      </c>
      <c r="C67" s="159">
        <f t="shared" si="27"/>
        <v>136.3497548</v>
      </c>
      <c r="D67" s="159">
        <f t="shared" ref="D67:N67" si="34">D$37*$B67</f>
        <v>171.5840449</v>
      </c>
      <c r="E67" s="159">
        <f t="shared" si="34"/>
        <v>135.1345652</v>
      </c>
      <c r="F67" s="159">
        <f t="shared" si="34"/>
        <v>164.2379887</v>
      </c>
      <c r="G67" s="159">
        <f t="shared" si="34"/>
        <v>66.63117994</v>
      </c>
      <c r="H67" s="159">
        <f t="shared" si="34"/>
        <v>43.82657178</v>
      </c>
      <c r="I67" s="159">
        <f t="shared" si="34"/>
        <v>16.93261073</v>
      </c>
      <c r="J67" s="159">
        <f t="shared" si="34"/>
        <v>11.13805533</v>
      </c>
      <c r="K67" s="159">
        <f t="shared" si="34"/>
        <v>25.08826124</v>
      </c>
      <c r="L67" s="159">
        <f t="shared" si="34"/>
        <v>39.64558901</v>
      </c>
      <c r="M67" s="159">
        <f t="shared" si="34"/>
        <v>54.53987827</v>
      </c>
      <c r="N67" s="159">
        <f t="shared" si="34"/>
        <v>117.5179818</v>
      </c>
      <c r="O67" s="159">
        <f t="shared" si="29"/>
        <v>982.6264818</v>
      </c>
    </row>
    <row r="68">
      <c r="A68" s="157" t="s">
        <v>92</v>
      </c>
      <c r="B68" s="158">
        <v>0.07916181231856538</v>
      </c>
      <c r="C68" s="159">
        <f t="shared" si="27"/>
        <v>114.088239</v>
      </c>
      <c r="D68" s="159">
        <f t="shared" ref="D68:N68" si="35">D$37*$B68</f>
        <v>143.5699064</v>
      </c>
      <c r="E68" s="159">
        <f t="shared" si="35"/>
        <v>113.0714507</v>
      </c>
      <c r="F68" s="159">
        <f t="shared" si="35"/>
        <v>137.4232241</v>
      </c>
      <c r="G68" s="159">
        <f t="shared" si="35"/>
        <v>55.75245805</v>
      </c>
      <c r="H68" s="159">
        <f t="shared" si="35"/>
        <v>36.67110663</v>
      </c>
      <c r="I68" s="159">
        <f t="shared" si="35"/>
        <v>14.16806171</v>
      </c>
      <c r="J68" s="159">
        <f t="shared" si="35"/>
        <v>9.319570252</v>
      </c>
      <c r="K68" s="159">
        <f t="shared" si="35"/>
        <v>20.99215763</v>
      </c>
      <c r="L68" s="159">
        <f t="shared" si="35"/>
        <v>33.17274345</v>
      </c>
      <c r="M68" s="159">
        <f t="shared" si="35"/>
        <v>45.63527583</v>
      </c>
      <c r="N68" s="159">
        <f t="shared" si="35"/>
        <v>98.33108697</v>
      </c>
      <c r="O68" s="159">
        <f t="shared" si="29"/>
        <v>822.1952808</v>
      </c>
    </row>
    <row r="69">
      <c r="A69" s="157" t="s">
        <v>93</v>
      </c>
      <c r="B69" s="160">
        <v>0.057930341982118834</v>
      </c>
      <c r="C69" s="159">
        <f t="shared" si="27"/>
        <v>83.48938093</v>
      </c>
      <c r="D69" s="159">
        <f t="shared" ref="D69:N69" si="36">D$37*$B69</f>
        <v>105.0639637</v>
      </c>
      <c r="E69" s="159">
        <f t="shared" si="36"/>
        <v>82.74529874</v>
      </c>
      <c r="F69" s="159">
        <f t="shared" si="36"/>
        <v>100.5658428</v>
      </c>
      <c r="G69" s="159">
        <f t="shared" si="36"/>
        <v>40.79945704</v>
      </c>
      <c r="H69" s="159">
        <f t="shared" si="36"/>
        <v>26.8357897</v>
      </c>
      <c r="I69" s="159">
        <f t="shared" si="36"/>
        <v>10.36813883</v>
      </c>
      <c r="J69" s="159">
        <f t="shared" si="36"/>
        <v>6.820029456</v>
      </c>
      <c r="K69" s="159">
        <f t="shared" si="36"/>
        <v>15.36198875</v>
      </c>
      <c r="L69" s="159">
        <f t="shared" si="36"/>
        <v>24.27569956</v>
      </c>
      <c r="M69" s="159">
        <f t="shared" si="36"/>
        <v>33.39573789</v>
      </c>
      <c r="N69" s="159">
        <f t="shared" si="36"/>
        <v>71.95835124</v>
      </c>
      <c r="O69" s="159">
        <f t="shared" si="29"/>
        <v>601.6796786</v>
      </c>
    </row>
    <row r="70">
      <c r="A70" s="157" t="s">
        <v>94</v>
      </c>
      <c r="B70" s="158">
        <v>0.057809653769656084</v>
      </c>
      <c r="C70" s="159">
        <f t="shared" si="27"/>
        <v>83.31544472</v>
      </c>
      <c r="D70" s="159">
        <f t="shared" ref="D70:N70" si="37">D$37*$B70</f>
        <v>104.8450804</v>
      </c>
      <c r="E70" s="159">
        <f t="shared" si="37"/>
        <v>82.5729127</v>
      </c>
      <c r="F70" s="159">
        <f t="shared" si="37"/>
        <v>100.3563306</v>
      </c>
      <c r="G70" s="159">
        <f t="shared" si="37"/>
        <v>40.71445817</v>
      </c>
      <c r="H70" s="159">
        <f t="shared" si="37"/>
        <v>26.77988181</v>
      </c>
      <c r="I70" s="159">
        <f t="shared" si="37"/>
        <v>10.34653854</v>
      </c>
      <c r="J70" s="159">
        <f t="shared" si="37"/>
        <v>6.805821062</v>
      </c>
      <c r="K70" s="159">
        <f t="shared" si="37"/>
        <v>15.32998461</v>
      </c>
      <c r="L70" s="159">
        <f t="shared" si="37"/>
        <v>24.22512519</v>
      </c>
      <c r="M70" s="159">
        <f t="shared" si="37"/>
        <v>33.32616344</v>
      </c>
      <c r="N70" s="159">
        <f t="shared" si="37"/>
        <v>71.80843801</v>
      </c>
      <c r="O70" s="159">
        <f t="shared" si="29"/>
        <v>600.4261793</v>
      </c>
    </row>
    <row r="71">
      <c r="A71" s="157" t="s">
        <v>95</v>
      </c>
      <c r="B71" s="158">
        <v>0.016597042977877046</v>
      </c>
      <c r="C71" s="159">
        <f t="shared" si="27"/>
        <v>23.91970764</v>
      </c>
      <c r="D71" s="159">
        <f t="shared" ref="D71:N71" si="38">D$37*$B71</f>
        <v>30.10082559</v>
      </c>
      <c r="E71" s="159">
        <f t="shared" si="38"/>
        <v>23.70652809</v>
      </c>
      <c r="F71" s="159">
        <f t="shared" si="38"/>
        <v>28.81211395</v>
      </c>
      <c r="G71" s="159">
        <f t="shared" si="38"/>
        <v>11.68904444</v>
      </c>
      <c r="H71" s="159">
        <f t="shared" si="38"/>
        <v>7.68845375</v>
      </c>
      <c r="I71" s="159">
        <f t="shared" si="38"/>
        <v>2.970471775</v>
      </c>
      <c r="J71" s="159">
        <f t="shared" si="38"/>
        <v>1.953938439</v>
      </c>
      <c r="K71" s="159">
        <f t="shared" si="38"/>
        <v>4.401209778</v>
      </c>
      <c r="L71" s="159">
        <f t="shared" si="38"/>
        <v>6.954987925</v>
      </c>
      <c r="M71" s="159">
        <f t="shared" si="38"/>
        <v>9.567878906</v>
      </c>
      <c r="N71" s="159">
        <f t="shared" si="38"/>
        <v>20.61606763</v>
      </c>
      <c r="O71" s="159">
        <f t="shared" si="29"/>
        <v>172.3812279</v>
      </c>
    </row>
    <row r="72">
      <c r="A72" s="157" t="s">
        <v>96</v>
      </c>
      <c r="B72" s="158">
        <v>0.1178254880631312</v>
      </c>
      <c r="C72" s="159">
        <f t="shared" si="27"/>
        <v>169.8104434</v>
      </c>
      <c r="D72" s="159">
        <f t="shared" ref="D72:N72" si="39">D$37*$B72</f>
        <v>213.6913468</v>
      </c>
      <c r="E72" s="159">
        <f t="shared" si="39"/>
        <v>168.2970422</v>
      </c>
      <c r="F72" s="159">
        <f t="shared" si="39"/>
        <v>204.5425437</v>
      </c>
      <c r="G72" s="159">
        <f t="shared" si="39"/>
        <v>82.98269567</v>
      </c>
      <c r="H72" s="159">
        <f t="shared" si="39"/>
        <v>54.58175994</v>
      </c>
      <c r="I72" s="159">
        <f t="shared" si="39"/>
        <v>21.08793037</v>
      </c>
      <c r="J72" s="159">
        <f t="shared" si="39"/>
        <v>13.87137158</v>
      </c>
      <c r="K72" s="159">
        <f t="shared" si="39"/>
        <v>31.24500496</v>
      </c>
      <c r="L72" s="159">
        <f t="shared" si="39"/>
        <v>49.37474994</v>
      </c>
      <c r="M72" s="159">
        <f t="shared" si="39"/>
        <v>67.92414789</v>
      </c>
      <c r="N72" s="159">
        <f t="shared" si="39"/>
        <v>146.3572899</v>
      </c>
      <c r="O72" s="159">
        <f t="shared" si="29"/>
        <v>1223.766326</v>
      </c>
    </row>
    <row r="73">
      <c r="A73" s="157" t="s">
        <v>97</v>
      </c>
      <c r="B73" s="158">
        <v>0.032408807986663145</v>
      </c>
      <c r="C73" s="159">
        <f t="shared" si="27"/>
        <v>46.70767033</v>
      </c>
      <c r="D73" s="159">
        <f t="shared" ref="D73:N73" si="40">D$37*$B73</f>
        <v>58.77745079</v>
      </c>
      <c r="E73" s="159">
        <f t="shared" si="40"/>
        <v>46.29139768</v>
      </c>
      <c r="F73" s="159">
        <f t="shared" si="40"/>
        <v>56.26100204</v>
      </c>
      <c r="G73" s="159">
        <f t="shared" si="40"/>
        <v>22.82502958</v>
      </c>
      <c r="H73" s="159">
        <f t="shared" si="40"/>
        <v>15.01313346</v>
      </c>
      <c r="I73" s="159">
        <f t="shared" si="40"/>
        <v>5.800397668</v>
      </c>
      <c r="J73" s="159">
        <f t="shared" si="40"/>
        <v>3.81542759</v>
      </c>
      <c r="K73" s="159">
        <f t="shared" si="40"/>
        <v>8.594179264</v>
      </c>
      <c r="L73" s="159">
        <f t="shared" si="40"/>
        <v>13.58090526</v>
      </c>
      <c r="M73" s="159">
        <f t="shared" si="40"/>
        <v>18.68306003</v>
      </c>
      <c r="N73" s="159">
        <f t="shared" si="40"/>
        <v>40.25669983</v>
      </c>
      <c r="O73" s="159">
        <f t="shared" si="29"/>
        <v>336.6063535</v>
      </c>
    </row>
    <row r="74">
      <c r="A74" s="157" t="s">
        <v>98</v>
      </c>
      <c r="B74" s="158">
        <v>0.07229384844135196</v>
      </c>
      <c r="C74" s="159">
        <f t="shared" si="27"/>
        <v>104.1901091</v>
      </c>
      <c r="D74" s="159">
        <f t="shared" ref="D74:N74" si="41">D$37*$B74</f>
        <v>131.1139898</v>
      </c>
      <c r="E74" s="159">
        <f t="shared" si="41"/>
        <v>103.2615359</v>
      </c>
      <c r="F74" s="159">
        <f t="shared" si="41"/>
        <v>125.5005848</v>
      </c>
      <c r="G74" s="159">
        <f t="shared" si="41"/>
        <v>50.91545575</v>
      </c>
      <c r="H74" s="159">
        <f t="shared" si="41"/>
        <v>33.48957467</v>
      </c>
      <c r="I74" s="159">
        <f t="shared" si="41"/>
        <v>12.93886125</v>
      </c>
      <c r="J74" s="159">
        <f t="shared" si="41"/>
        <v>8.511017871</v>
      </c>
      <c r="K74" s="159">
        <f t="shared" si="41"/>
        <v>19.17090852</v>
      </c>
      <c r="L74" s="159">
        <f t="shared" si="41"/>
        <v>30.2947244</v>
      </c>
      <c r="M74" s="159">
        <f t="shared" si="41"/>
        <v>41.67602557</v>
      </c>
      <c r="N74" s="159">
        <f t="shared" si="41"/>
        <v>89.80002466</v>
      </c>
      <c r="O74" s="159">
        <f t="shared" si="29"/>
        <v>750.8628122</v>
      </c>
    </row>
    <row r="75">
      <c r="A75" s="161" t="s">
        <v>99</v>
      </c>
      <c r="B75" s="162">
        <v>0.036510598034230395</v>
      </c>
      <c r="C75" s="159">
        <f t="shared" si="27"/>
        <v>52.61918233</v>
      </c>
      <c r="D75" s="159">
        <f t="shared" ref="D75:N75" si="42">D$37*$B75</f>
        <v>66.21656311</v>
      </c>
      <c r="E75" s="159">
        <f t="shared" si="42"/>
        <v>52.15022453</v>
      </c>
      <c r="F75" s="159">
        <f t="shared" si="42"/>
        <v>63.38162241</v>
      </c>
      <c r="G75" s="159">
        <f t="shared" si="42"/>
        <v>25.7138578</v>
      </c>
      <c r="H75" s="159">
        <f t="shared" si="42"/>
        <v>16.91325646</v>
      </c>
      <c r="I75" s="159">
        <f t="shared" si="42"/>
        <v>6.534519498</v>
      </c>
      <c r="J75" s="159">
        <f t="shared" si="42"/>
        <v>4.298323565</v>
      </c>
      <c r="K75" s="159">
        <f t="shared" si="42"/>
        <v>9.681893412</v>
      </c>
      <c r="L75" s="159">
        <f t="shared" si="42"/>
        <v>15.29975965</v>
      </c>
      <c r="M75" s="159">
        <f t="shared" si="42"/>
        <v>21.04766381</v>
      </c>
      <c r="N75" s="159">
        <f t="shared" si="42"/>
        <v>45.35175087</v>
      </c>
      <c r="O75" s="159">
        <f t="shared" si="29"/>
        <v>379.2086174</v>
      </c>
    </row>
    <row r="77">
      <c r="A77" s="163" t="s">
        <v>277</v>
      </c>
      <c r="B77" s="163"/>
      <c r="C77" s="163" t="s">
        <v>278</v>
      </c>
      <c r="D77" s="164"/>
      <c r="E77" s="165"/>
      <c r="F77" s="165"/>
      <c r="G77" s="166"/>
      <c r="H77" s="167"/>
      <c r="I77" s="168"/>
    </row>
    <row r="78">
      <c r="A78" s="169"/>
      <c r="B78" s="165"/>
      <c r="C78" s="165"/>
      <c r="D78" s="164"/>
      <c r="E78" s="165"/>
      <c r="F78" s="165"/>
      <c r="G78" s="166"/>
      <c r="H78" s="167"/>
      <c r="I78" s="168"/>
    </row>
    <row r="79">
      <c r="A79" s="163" t="s">
        <v>279</v>
      </c>
      <c r="B79" s="163"/>
      <c r="C79" s="163" t="s">
        <v>280</v>
      </c>
      <c r="D79" s="164"/>
      <c r="F79" s="163" t="s">
        <v>281</v>
      </c>
      <c r="G79" s="166"/>
      <c r="H79" s="167"/>
      <c r="I79" s="168"/>
    </row>
    <row r="80">
      <c r="A80" s="163" t="s">
        <v>282</v>
      </c>
      <c r="B80" s="163"/>
      <c r="C80" s="163" t="s">
        <v>283</v>
      </c>
      <c r="D80" s="164"/>
      <c r="E80" s="165"/>
      <c r="F80" s="163" t="s">
        <v>284</v>
      </c>
      <c r="G80" s="166"/>
      <c r="H80" s="167"/>
      <c r="I80" s="168"/>
    </row>
    <row r="81">
      <c r="A81" s="163" t="s">
        <v>285</v>
      </c>
      <c r="B81" s="163"/>
      <c r="C81" s="163" t="s">
        <v>286</v>
      </c>
      <c r="D81" s="170" t="s">
        <v>287</v>
      </c>
      <c r="E81" s="165"/>
      <c r="F81" s="163" t="s">
        <v>288</v>
      </c>
      <c r="G81" s="166"/>
      <c r="H81" s="167"/>
      <c r="I81" s="171"/>
    </row>
    <row r="82">
      <c r="A82" s="163" t="s">
        <v>289</v>
      </c>
      <c r="B82" s="163"/>
      <c r="C82" s="163" t="s">
        <v>286</v>
      </c>
      <c r="D82" s="170" t="s">
        <v>287</v>
      </c>
      <c r="F82" s="163" t="s">
        <v>290</v>
      </c>
      <c r="G82" s="166"/>
    </row>
    <row r="83">
      <c r="A83" s="169"/>
      <c r="B83" s="165"/>
      <c r="C83" s="165"/>
      <c r="D83" s="164"/>
      <c r="E83" s="163" t="s">
        <v>291</v>
      </c>
      <c r="F83" s="165"/>
      <c r="G83" s="166"/>
    </row>
    <row r="84">
      <c r="A84" s="169"/>
      <c r="B84" s="165"/>
      <c r="C84" s="165"/>
      <c r="D84" s="164"/>
      <c r="E84" s="165"/>
      <c r="F84" s="165"/>
      <c r="G84" s="166"/>
    </row>
    <row r="85">
      <c r="A85" s="163" t="s">
        <v>292</v>
      </c>
      <c r="B85" s="165"/>
      <c r="C85" s="165"/>
      <c r="D85" s="172" t="s">
        <v>293</v>
      </c>
      <c r="E85" s="165">
        <v>1.801503712684375E9</v>
      </c>
      <c r="F85" s="166">
        <v>1.813625814809375E9</v>
      </c>
      <c r="G85" s="1">
        <v>1.4283585407E9</v>
      </c>
      <c r="H85" s="1">
        <v>1.73597875189375E9</v>
      </c>
      <c r="I85" s="1">
        <v>7.04284760703125E8</v>
      </c>
      <c r="J85" s="1">
        <v>4.63242383603125E8</v>
      </c>
      <c r="K85" s="1">
        <v>1.7897596451875E8</v>
      </c>
      <c r="L85" s="1">
        <v>1.1772810625625E8</v>
      </c>
      <c r="M85" s="1">
        <v>2.6518035674374998E8</v>
      </c>
      <c r="N85" s="1">
        <v>4.1904982315E8</v>
      </c>
      <c r="O85" s="1">
        <v>5.7648093811875E8</v>
      </c>
      <c r="P85" s="1">
        <v>1.24215305445E9</v>
      </c>
      <c r="Q85" s="1">
        <v>1.074656220763125E10</v>
      </c>
    </row>
    <row r="86">
      <c r="F86" s="165"/>
      <c r="G86" s="166"/>
    </row>
    <row r="88">
      <c r="E88" s="5" t="s">
        <v>294</v>
      </c>
      <c r="F88" s="5" t="s">
        <v>295</v>
      </c>
      <c r="G88" s="5" t="s">
        <v>296</v>
      </c>
    </row>
    <row r="89">
      <c r="A89" s="59" t="s">
        <v>9</v>
      </c>
      <c r="B89" s="60"/>
      <c r="C89" s="60">
        <v>83244.0</v>
      </c>
      <c r="D89" s="61">
        <v>0.1339542607766528</v>
      </c>
      <c r="E89" s="173">
        <f t="shared" ref="E89:E104" si="43">O43</f>
        <v>4606.552949</v>
      </c>
      <c r="F89" s="66">
        <f t="shared" ref="F89:F103" si="44">O61</f>
        <v>1391.283977</v>
      </c>
    </row>
    <row r="90">
      <c r="A90" s="59" t="s">
        <v>87</v>
      </c>
      <c r="B90" s="60"/>
      <c r="C90" s="60">
        <v>4863.0</v>
      </c>
      <c r="D90" s="61">
        <v>0.007825423696084553</v>
      </c>
      <c r="E90" s="173">
        <f t="shared" si="43"/>
        <v>269.1084882</v>
      </c>
      <c r="F90" s="66">
        <f t="shared" si="44"/>
        <v>81.27689658</v>
      </c>
    </row>
    <row r="91">
      <c r="A91" s="59" t="s">
        <v>10</v>
      </c>
      <c r="B91" s="60"/>
      <c r="C91" s="60">
        <v>50996.0</v>
      </c>
      <c r="D91" s="61">
        <v>0.08206154777000367</v>
      </c>
      <c r="E91" s="173">
        <f t="shared" si="43"/>
        <v>2822.014489</v>
      </c>
      <c r="F91" s="66">
        <f t="shared" si="44"/>
        <v>852.3126914</v>
      </c>
    </row>
    <row r="92">
      <c r="A92" s="59" t="s">
        <v>88</v>
      </c>
      <c r="B92" s="60"/>
      <c r="C92" s="60">
        <v>36837.0</v>
      </c>
      <c r="D92" s="61">
        <v>0.059277222433203096</v>
      </c>
      <c r="E92" s="173">
        <f t="shared" si="43"/>
        <v>2038.484347</v>
      </c>
      <c r="F92" s="66">
        <f t="shared" si="44"/>
        <v>615.6687311</v>
      </c>
    </row>
    <row r="93">
      <c r="A93" s="59" t="s">
        <v>89</v>
      </c>
      <c r="B93" s="60"/>
      <c r="C93" s="60">
        <v>23659.0</v>
      </c>
      <c r="D93" s="61">
        <v>0.03807149891541527</v>
      </c>
      <c r="E93" s="173">
        <f t="shared" si="43"/>
        <v>1309.240741</v>
      </c>
      <c r="F93" s="66">
        <f t="shared" si="44"/>
        <v>395.4205421</v>
      </c>
    </row>
    <row r="94">
      <c r="A94" s="59" t="s">
        <v>90</v>
      </c>
      <c r="B94" s="60"/>
      <c r="C94" s="60">
        <v>70635.0</v>
      </c>
      <c r="D94" s="61">
        <v>0.11366415849741567</v>
      </c>
      <c r="E94" s="173">
        <f t="shared" si="43"/>
        <v>3908.79664</v>
      </c>
      <c r="F94" s="66">
        <f t="shared" si="44"/>
        <v>1180.545669</v>
      </c>
    </row>
    <row r="95">
      <c r="A95" s="59" t="s">
        <v>91</v>
      </c>
      <c r="B95" s="60"/>
      <c r="C95" s="60">
        <v>58793.0</v>
      </c>
      <c r="D95" s="61">
        <v>0.0946082943376309</v>
      </c>
      <c r="E95" s="173">
        <f t="shared" si="43"/>
        <v>3253.484545</v>
      </c>
      <c r="F95" s="66">
        <f t="shared" si="44"/>
        <v>982.6264818</v>
      </c>
    </row>
    <row r="96">
      <c r="A96" s="59" t="s">
        <v>92</v>
      </c>
      <c r="B96" s="60"/>
      <c r="C96" s="60">
        <v>49194.0</v>
      </c>
      <c r="D96" s="61">
        <v>0.07916181231856538</v>
      </c>
      <c r="E96" s="173">
        <f t="shared" si="43"/>
        <v>2722.29549</v>
      </c>
      <c r="F96" s="66">
        <f t="shared" si="44"/>
        <v>822.1952808</v>
      </c>
    </row>
    <row r="97">
      <c r="A97" s="59" t="s">
        <v>93</v>
      </c>
      <c r="B97" s="62"/>
      <c r="C97" s="62">
        <v>36000.0</v>
      </c>
      <c r="D97" s="61">
        <v>0.057930341982118834</v>
      </c>
      <c r="E97" s="173">
        <f t="shared" si="43"/>
        <v>1992.166476</v>
      </c>
      <c r="F97" s="66">
        <f t="shared" si="44"/>
        <v>601.6796786</v>
      </c>
    </row>
    <row r="98">
      <c r="A98" s="59" t="s">
        <v>94</v>
      </c>
      <c r="B98" s="60"/>
      <c r="C98" s="60">
        <v>35925.0</v>
      </c>
      <c r="D98" s="61">
        <v>0.057809653769656084</v>
      </c>
      <c r="E98" s="173">
        <f t="shared" si="43"/>
        <v>1988.016129</v>
      </c>
      <c r="F98" s="66">
        <f t="shared" si="44"/>
        <v>600.4261793</v>
      </c>
    </row>
    <row r="99">
      <c r="A99" s="59" t="s">
        <v>95</v>
      </c>
      <c r="B99" s="60"/>
      <c r="C99" s="60">
        <v>10314.0</v>
      </c>
      <c r="D99" s="61">
        <v>0.016597042977877046</v>
      </c>
      <c r="E99" s="173">
        <f t="shared" si="43"/>
        <v>570.7556954</v>
      </c>
      <c r="F99" s="66">
        <f t="shared" si="44"/>
        <v>172.3812279</v>
      </c>
    </row>
    <row r="100">
      <c r="A100" s="59" t="s">
        <v>96</v>
      </c>
      <c r="B100" s="60"/>
      <c r="C100" s="60">
        <v>73221.0</v>
      </c>
      <c r="D100" s="61">
        <v>0.1178254880631312</v>
      </c>
      <c r="E100" s="173">
        <f t="shared" si="43"/>
        <v>2722.29549</v>
      </c>
      <c r="F100" s="66">
        <f t="shared" si="44"/>
        <v>1223.766326</v>
      </c>
    </row>
    <row r="101">
      <c r="A101" s="59" t="s">
        <v>97</v>
      </c>
      <c r="B101" s="60"/>
      <c r="C101" s="60">
        <v>20140.0</v>
      </c>
      <c r="D101" s="61">
        <v>0.032408807986663145</v>
      </c>
      <c r="E101" s="173">
        <f t="shared" si="43"/>
        <v>1114.506468</v>
      </c>
      <c r="F101" s="66">
        <f t="shared" si="44"/>
        <v>336.6063535</v>
      </c>
    </row>
    <row r="102">
      <c r="A102" s="59" t="s">
        <v>98</v>
      </c>
      <c r="B102" s="60"/>
      <c r="C102" s="60">
        <v>44926.0</v>
      </c>
      <c r="D102" s="61">
        <v>0.07229384844135196</v>
      </c>
      <c r="E102" s="173">
        <f t="shared" si="43"/>
        <v>2486.113086</v>
      </c>
      <c r="F102" s="66">
        <f t="shared" si="44"/>
        <v>750.8628122</v>
      </c>
    </row>
    <row r="103">
      <c r="A103" s="63" t="s">
        <v>99</v>
      </c>
      <c r="B103" s="64"/>
      <c r="C103" s="64">
        <v>22689.0</v>
      </c>
      <c r="D103" s="61">
        <v>0.036510598034230395</v>
      </c>
      <c r="E103" s="173">
        <f t="shared" si="43"/>
        <v>1255.562922</v>
      </c>
      <c r="F103" s="66">
        <f t="shared" si="44"/>
        <v>379.2086174</v>
      </c>
    </row>
    <row r="104">
      <c r="C104" s="1">
        <v>621436.0</v>
      </c>
      <c r="E104" s="165" t="str">
        <f t="shared" si="43"/>
        <v/>
      </c>
      <c r="F104" s="1" t="str">
        <f>#REF!</f>
        <v>#REF!</v>
      </c>
    </row>
    <row r="107">
      <c r="A107" s="174" t="s">
        <v>297</v>
      </c>
      <c r="B107" s="175"/>
      <c r="C107" s="176" t="s">
        <v>101</v>
      </c>
      <c r="D107" s="176" t="s">
        <v>102</v>
      </c>
      <c r="E107" s="176" t="s">
        <v>103</v>
      </c>
      <c r="F107" s="176" t="s">
        <v>104</v>
      </c>
      <c r="G107" s="176" t="s">
        <v>105</v>
      </c>
      <c r="H107" s="176" t="s">
        <v>106</v>
      </c>
      <c r="I107" s="176" t="s">
        <v>107</v>
      </c>
      <c r="J107" s="176" t="s">
        <v>108</v>
      </c>
      <c r="K107" s="176" t="s">
        <v>109</v>
      </c>
      <c r="L107" s="176" t="s">
        <v>110</v>
      </c>
      <c r="M107" s="176" t="s">
        <v>111</v>
      </c>
      <c r="N107" s="176" t="s">
        <v>112</v>
      </c>
      <c r="O107" s="177" t="s">
        <v>13</v>
      </c>
      <c r="P107" s="178"/>
      <c r="Q107" s="177" t="s">
        <v>298</v>
      </c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</row>
    <row r="108">
      <c r="A108" s="177" t="s">
        <v>299</v>
      </c>
      <c r="B108" s="179"/>
      <c r="C108" s="180">
        <v>21.0</v>
      </c>
      <c r="D108" s="181">
        <v>25.0</v>
      </c>
      <c r="E108" s="181">
        <v>34.0</v>
      </c>
      <c r="F108" s="181">
        <v>42.0</v>
      </c>
      <c r="G108" s="181">
        <v>55.0</v>
      </c>
      <c r="H108" s="181">
        <v>65.0</v>
      </c>
      <c r="I108" s="181">
        <v>69.0</v>
      </c>
      <c r="J108" s="181">
        <v>70.0</v>
      </c>
      <c r="K108" s="181">
        <v>60.0</v>
      </c>
      <c r="L108" s="181">
        <v>49.0</v>
      </c>
      <c r="M108" s="181">
        <v>37.75</v>
      </c>
      <c r="N108" s="182">
        <v>28.0</v>
      </c>
      <c r="O108" s="183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</row>
    <row r="109">
      <c r="A109" s="177" t="s">
        <v>300</v>
      </c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83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</row>
    <row r="110">
      <c r="A110" s="177" t="s">
        <v>160</v>
      </c>
      <c r="B110" s="179"/>
      <c r="C110" s="179">
        <v>0.08</v>
      </c>
      <c r="D110" s="179">
        <v>0.0</v>
      </c>
      <c r="E110" s="179">
        <v>0.1</v>
      </c>
      <c r="F110" s="179">
        <v>0.88</v>
      </c>
      <c r="G110" s="179">
        <v>3.26</v>
      </c>
      <c r="H110" s="179">
        <v>5.6</v>
      </c>
      <c r="I110" s="179">
        <v>9.05</v>
      </c>
      <c r="J110" s="179">
        <v>13.14</v>
      </c>
      <c r="K110" s="179">
        <v>5.05</v>
      </c>
      <c r="L110" s="179">
        <v>1.19</v>
      </c>
      <c r="M110" s="179">
        <v>0.02</v>
      </c>
      <c r="N110" s="179">
        <v>0.0</v>
      </c>
      <c r="O110" s="184">
        <f t="shared" ref="O110:O111" si="46">SUM(C110:N110)</f>
        <v>38.37</v>
      </c>
      <c r="P110" s="178"/>
      <c r="Q110" s="177">
        <f>8*125</f>
        <v>1000</v>
      </c>
      <c r="R110" s="178">
        <f>O110/Q110</f>
        <v>0.03837</v>
      </c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</row>
    <row r="111">
      <c r="A111" s="177" t="s">
        <v>301</v>
      </c>
      <c r="B111" s="185"/>
      <c r="C111" s="185">
        <f t="shared" ref="C111:N111" si="45">C110*3412000</f>
        <v>272960</v>
      </c>
      <c r="D111" s="185">
        <f t="shared" si="45"/>
        <v>0</v>
      </c>
      <c r="E111" s="185">
        <f t="shared" si="45"/>
        <v>341200</v>
      </c>
      <c r="F111" s="185">
        <f t="shared" si="45"/>
        <v>3002560</v>
      </c>
      <c r="G111" s="185">
        <f t="shared" si="45"/>
        <v>11123120</v>
      </c>
      <c r="H111" s="185">
        <f t="shared" si="45"/>
        <v>19107200</v>
      </c>
      <c r="I111" s="185">
        <f t="shared" si="45"/>
        <v>30878600</v>
      </c>
      <c r="J111" s="185">
        <f t="shared" si="45"/>
        <v>44833680</v>
      </c>
      <c r="K111" s="185">
        <f t="shared" si="45"/>
        <v>17230600</v>
      </c>
      <c r="L111" s="185">
        <f t="shared" si="45"/>
        <v>4060280</v>
      </c>
      <c r="M111" s="185">
        <f t="shared" si="45"/>
        <v>68240</v>
      </c>
      <c r="N111" s="185">
        <f t="shared" si="45"/>
        <v>0</v>
      </c>
      <c r="O111" s="184">
        <f t="shared" si="46"/>
        <v>130918440</v>
      </c>
      <c r="P111" s="178">
        <f>O111/8760</f>
        <v>14945.0274</v>
      </c>
      <c r="Q111" s="178"/>
      <c r="R111" s="178">
        <f>O111/R110</f>
        <v>3412000000</v>
      </c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</row>
    <row r="112">
      <c r="A112" s="177" t="s">
        <v>302</v>
      </c>
      <c r="B112" s="186"/>
      <c r="C112" s="186">
        <f t="shared" ref="C112:O112" si="47">C111/$J$13</f>
        <v>189252.2667</v>
      </c>
      <c r="D112" s="186">
        <f t="shared" si="47"/>
        <v>0</v>
      </c>
      <c r="E112" s="186">
        <f t="shared" si="47"/>
        <v>236565.3333</v>
      </c>
      <c r="F112" s="186">
        <f t="shared" si="47"/>
        <v>2081774.933</v>
      </c>
      <c r="G112" s="186">
        <f t="shared" si="47"/>
        <v>7712029.867</v>
      </c>
      <c r="H112" s="186">
        <f t="shared" si="47"/>
        <v>13247658.67</v>
      </c>
      <c r="I112" s="186">
        <f t="shared" si="47"/>
        <v>21409162.67</v>
      </c>
      <c r="J112" s="186">
        <f t="shared" si="47"/>
        <v>31084684.8</v>
      </c>
      <c r="K112" s="186">
        <f t="shared" si="47"/>
        <v>11946549.33</v>
      </c>
      <c r="L112" s="186">
        <f t="shared" si="47"/>
        <v>2815127.467</v>
      </c>
      <c r="M112" s="186">
        <f t="shared" si="47"/>
        <v>47313.06667</v>
      </c>
      <c r="N112" s="186">
        <f t="shared" si="47"/>
        <v>0</v>
      </c>
      <c r="O112" s="186">
        <f t="shared" si="47"/>
        <v>90770118.4</v>
      </c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</row>
    <row r="113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</row>
    <row r="114">
      <c r="A114" s="177" t="s">
        <v>303</v>
      </c>
      <c r="B114" s="178"/>
      <c r="C114" s="186">
        <f t="shared" ref="C114:N114" si="48">C111-C112</f>
        <v>83707.73333</v>
      </c>
      <c r="D114" s="186">
        <f t="shared" si="48"/>
        <v>0</v>
      </c>
      <c r="E114" s="186">
        <f t="shared" si="48"/>
        <v>104634.6667</v>
      </c>
      <c r="F114" s="186">
        <f t="shared" si="48"/>
        <v>920785.0667</v>
      </c>
      <c r="G114" s="186">
        <f t="shared" si="48"/>
        <v>3411090.133</v>
      </c>
      <c r="H114" s="186">
        <f t="shared" si="48"/>
        <v>5859541.333</v>
      </c>
      <c r="I114" s="186">
        <f t="shared" si="48"/>
        <v>9469437.333</v>
      </c>
      <c r="J114" s="186">
        <f t="shared" si="48"/>
        <v>13748995.2</v>
      </c>
      <c r="K114" s="186">
        <f t="shared" si="48"/>
        <v>5284050.667</v>
      </c>
      <c r="L114" s="186">
        <f t="shared" si="48"/>
        <v>1245152.533</v>
      </c>
      <c r="M114" s="186">
        <f t="shared" si="48"/>
        <v>20926.93333</v>
      </c>
      <c r="N114" s="186">
        <f t="shared" si="48"/>
        <v>0</v>
      </c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</row>
    <row r="115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</row>
    <row r="116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</row>
    <row r="117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</row>
    <row r="118">
      <c r="A118" s="177" t="s">
        <v>304</v>
      </c>
      <c r="B118" s="187"/>
      <c r="C118" s="187">
        <v>0.173</v>
      </c>
      <c r="D118" s="187">
        <v>0.175</v>
      </c>
      <c r="E118" s="187">
        <v>0.17</v>
      </c>
      <c r="F118" s="187">
        <v>0.173</v>
      </c>
      <c r="G118" s="187">
        <v>0.185</v>
      </c>
      <c r="H118" s="187">
        <v>0.193</v>
      </c>
      <c r="I118" s="187">
        <v>0.194</v>
      </c>
      <c r="J118" s="187">
        <v>0.186</v>
      </c>
      <c r="K118" s="187">
        <v>0.188</v>
      </c>
      <c r="L118" s="187">
        <v>0.187</v>
      </c>
      <c r="M118" s="187">
        <v>0.178</v>
      </c>
      <c r="N118" s="187">
        <v>0.17</v>
      </c>
      <c r="O118" s="188">
        <f>AVERAGE(C118:N118)</f>
        <v>0.181</v>
      </c>
      <c r="P118" s="178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</row>
    <row r="119">
      <c r="A119" s="177" t="s">
        <v>305</v>
      </c>
      <c r="B119" s="188"/>
      <c r="C119" s="188">
        <f t="shared" ref="C119:N119" si="49">C118*1000</f>
        <v>173</v>
      </c>
      <c r="D119" s="188">
        <f t="shared" si="49"/>
        <v>175</v>
      </c>
      <c r="E119" s="188">
        <f t="shared" si="49"/>
        <v>170</v>
      </c>
      <c r="F119" s="188">
        <f t="shared" si="49"/>
        <v>173</v>
      </c>
      <c r="G119" s="188">
        <f t="shared" si="49"/>
        <v>185</v>
      </c>
      <c r="H119" s="188">
        <f t="shared" si="49"/>
        <v>193</v>
      </c>
      <c r="I119" s="188">
        <f t="shared" si="49"/>
        <v>194</v>
      </c>
      <c r="J119" s="188">
        <f t="shared" si="49"/>
        <v>186</v>
      </c>
      <c r="K119" s="188">
        <f t="shared" si="49"/>
        <v>188</v>
      </c>
      <c r="L119" s="188">
        <f t="shared" si="49"/>
        <v>187</v>
      </c>
      <c r="M119" s="188">
        <f t="shared" si="49"/>
        <v>178</v>
      </c>
      <c r="N119" s="188">
        <f t="shared" si="49"/>
        <v>170</v>
      </c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</row>
    <row r="123">
      <c r="A123" s="78"/>
      <c r="B123" s="78"/>
      <c r="C123" s="78"/>
      <c r="D123" s="78"/>
      <c r="P123" s="78"/>
      <c r="Q123" s="78"/>
      <c r="R123" s="78"/>
      <c r="S123" s="78"/>
      <c r="T123" s="78"/>
      <c r="U123" s="78"/>
      <c r="V123" s="78"/>
    </row>
    <row r="124">
      <c r="A124" s="78"/>
      <c r="B124" s="78"/>
      <c r="C124" s="84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</row>
    <row r="125">
      <c r="A125" s="78"/>
      <c r="B125" s="78"/>
      <c r="C125" s="77" t="s">
        <v>188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189"/>
    </row>
    <row r="126">
      <c r="A126" s="87"/>
      <c r="B126" s="78"/>
      <c r="C126" s="77">
        <v>1.0</v>
      </c>
      <c r="D126" s="77">
        <v>2.0</v>
      </c>
      <c r="E126" s="77">
        <v>3.0</v>
      </c>
      <c r="F126" s="77">
        <v>4.0</v>
      </c>
      <c r="G126" s="77">
        <v>5.0</v>
      </c>
      <c r="H126" s="77">
        <v>6.0</v>
      </c>
      <c r="I126" s="77">
        <v>7.0</v>
      </c>
      <c r="J126" s="77">
        <v>8.0</v>
      </c>
      <c r="K126" s="77">
        <v>9.0</v>
      </c>
      <c r="L126" s="77">
        <v>10.0</v>
      </c>
      <c r="M126" s="77">
        <v>11.0</v>
      </c>
      <c r="N126" s="77">
        <v>12.0</v>
      </c>
      <c r="O126" s="78"/>
      <c r="P126" s="78"/>
      <c r="Q126" s="78"/>
      <c r="R126" s="78"/>
      <c r="S126" s="78"/>
      <c r="T126" s="78"/>
      <c r="U126" s="78"/>
    </row>
    <row r="127">
      <c r="A127" s="77"/>
      <c r="B127" s="77" t="s">
        <v>199</v>
      </c>
      <c r="C127" s="77" t="s">
        <v>167</v>
      </c>
      <c r="D127" s="77" t="s">
        <v>168</v>
      </c>
      <c r="E127" s="77" t="s">
        <v>169</v>
      </c>
      <c r="F127" s="77" t="s">
        <v>170</v>
      </c>
      <c r="G127" s="77" t="s">
        <v>105</v>
      </c>
      <c r="H127" s="77" t="s">
        <v>171</v>
      </c>
      <c r="I127" s="77" t="s">
        <v>172</v>
      </c>
      <c r="J127" s="77" t="s">
        <v>173</v>
      </c>
      <c r="K127" s="77" t="s">
        <v>174</v>
      </c>
      <c r="L127" s="77" t="s">
        <v>175</v>
      </c>
      <c r="M127" s="77" t="s">
        <v>176</v>
      </c>
      <c r="N127" s="77" t="s">
        <v>177</v>
      </c>
      <c r="O127" s="77"/>
      <c r="P127" s="77"/>
      <c r="Q127" s="77"/>
      <c r="R127" s="91"/>
      <c r="S127" s="91"/>
      <c r="T127" s="91"/>
      <c r="U127" s="91"/>
    </row>
    <row r="128">
      <c r="A128" s="190" t="s">
        <v>306</v>
      </c>
      <c r="C128" s="191">
        <v>0.0</v>
      </c>
      <c r="D128" s="191">
        <v>0.0</v>
      </c>
      <c r="E128" s="191">
        <v>0.0</v>
      </c>
      <c r="F128" s="192">
        <f>'Heating Days Data'!H5*3.412</f>
        <v>3.00256</v>
      </c>
      <c r="G128" s="192">
        <f>'Heating Days Data'!I5*3.412</f>
        <v>11.12312</v>
      </c>
      <c r="H128" s="192">
        <f>'Heating Days Data'!J5*3.412</f>
        <v>19.1072</v>
      </c>
      <c r="I128" s="192">
        <f>'Heating Days Data'!K5*3.412</f>
        <v>30.8786</v>
      </c>
      <c r="J128" s="192">
        <f>'Heating Days Data'!L5*3.412</f>
        <v>44.83368</v>
      </c>
      <c r="K128" s="192">
        <f>'Heating Days Data'!M5*3.412</f>
        <v>17.2306</v>
      </c>
      <c r="L128" s="192">
        <f>'Heating Days Data'!N5*3.412</f>
        <v>4.06028</v>
      </c>
      <c r="M128" s="192">
        <v>0.0</v>
      </c>
      <c r="N128" s="192">
        <v>0.0</v>
      </c>
      <c r="O128" s="78"/>
      <c r="P128" s="78"/>
      <c r="Q128" s="78"/>
      <c r="R128" s="193"/>
      <c r="S128" s="193"/>
      <c r="T128" s="193"/>
      <c r="U128" s="193"/>
    </row>
    <row r="129">
      <c r="A129" s="90" t="s">
        <v>205</v>
      </c>
      <c r="B129" s="194">
        <v>4.633431085043989</v>
      </c>
      <c r="C129" s="77">
        <v>0.0</v>
      </c>
      <c r="D129" s="77">
        <v>0.0</v>
      </c>
      <c r="E129" s="77">
        <v>0.0</v>
      </c>
      <c r="F129" s="79">
        <f>(('Heating Days Data'!H6/SUM('Heating Days Data'!H$6:H$11))*F$128)/$B$134</f>
        <v>0</v>
      </c>
      <c r="G129" s="79">
        <f>(('Heating Days Data'!I6/SUM('Heating Days Data'!I$6:I$11))*G$128)/$B$134</f>
        <v>0.01472774684</v>
      </c>
      <c r="H129" s="79">
        <f>(('Heating Days Data'!J6/SUM('Heating Days Data'!J$6:J$11))*H$128)/$B$134</f>
        <v>0</v>
      </c>
      <c r="I129" s="79">
        <f>(('Heating Days Data'!K6/SUM('Heating Days Data'!K$6:K$11))*I$128)/$B$134</f>
        <v>0.01451918397</v>
      </c>
      <c r="J129" s="79">
        <f>(('Heating Days Data'!L6/SUM('Heating Days Data'!L$6:L$11))*J$128)/$B$134</f>
        <v>0.05160602491</v>
      </c>
      <c r="K129" s="79">
        <f>(('Heating Days Data'!M6/SUM('Heating Days Data'!M$6:M$11))*K$128)/$B$134</f>
        <v>0</v>
      </c>
      <c r="L129" s="79">
        <f>(('Heating Days Data'!N6/SUM('Heating Days Data'!N$6:N$11))*L$128)/$B$134</f>
        <v>0</v>
      </c>
      <c r="M129" s="79">
        <v>0.0</v>
      </c>
      <c r="N129" s="79">
        <v>0.0</v>
      </c>
      <c r="O129" s="77"/>
      <c r="P129" s="77"/>
      <c r="Q129" s="78"/>
      <c r="R129" s="91"/>
      <c r="S129" s="91"/>
      <c r="T129" s="91"/>
      <c r="U129" s="91"/>
    </row>
    <row r="130">
      <c r="A130" s="90" t="s">
        <v>204</v>
      </c>
      <c r="B130" s="78">
        <v>4.633431085043989</v>
      </c>
      <c r="C130" s="77">
        <v>0.0</v>
      </c>
      <c r="D130" s="77">
        <v>0.0</v>
      </c>
      <c r="E130" s="77">
        <v>0.0</v>
      </c>
      <c r="F130" s="79">
        <f>(('Heating Days Data'!H7/SUM('Heating Days Data'!H$6:H$11))*F$128)/$B$134</f>
        <v>0</v>
      </c>
      <c r="G130" s="79">
        <f>(('Heating Days Data'!I7/SUM('Heating Days Data'!I$6:I$11))*G$128)/$B$134</f>
        <v>0.01472774684</v>
      </c>
      <c r="H130" s="79">
        <f>(('Heating Days Data'!J7/SUM('Heating Days Data'!J$6:J$11))*H$128)/$B$134</f>
        <v>0.2550785019</v>
      </c>
      <c r="I130" s="79">
        <f>(('Heating Days Data'!K7/SUM('Heating Days Data'!K$6:K$11))*I$128)/$B$134</f>
        <v>0.1887493916</v>
      </c>
      <c r="J130" s="79">
        <f>(('Heating Days Data'!L7/SUM('Heating Days Data'!L$6:L$11))*J$128)/$B$134</f>
        <v>0.1806210872</v>
      </c>
      <c r="K130" s="79">
        <f>(('Heating Days Data'!M7/SUM('Heating Days Data'!M$6:M$11))*K$128)/$B$134</f>
        <v>0</v>
      </c>
      <c r="L130" s="79">
        <f>(('Heating Days Data'!N7/SUM('Heating Days Data'!N$6:N$11))*L$128)/$B$134</f>
        <v>0</v>
      </c>
      <c r="M130" s="79">
        <v>0.0</v>
      </c>
      <c r="N130" s="79">
        <v>0.0</v>
      </c>
      <c r="O130" s="77"/>
      <c r="P130" s="77"/>
      <c r="Q130" s="78"/>
      <c r="R130" s="91"/>
      <c r="S130" s="91"/>
      <c r="T130" s="91"/>
      <c r="U130" s="91"/>
    </row>
    <row r="131">
      <c r="A131" s="90" t="s">
        <v>203</v>
      </c>
      <c r="B131" s="78">
        <v>4.633431085043989</v>
      </c>
      <c r="C131" s="92">
        <v>0.0</v>
      </c>
      <c r="D131" s="92">
        <v>0.0</v>
      </c>
      <c r="E131" s="92">
        <v>0.0</v>
      </c>
      <c r="F131" s="79">
        <f>(('Heating Days Data'!H8/SUM('Heating Days Data'!H$6:H$11))*F$128)/$B$134</f>
        <v>0</v>
      </c>
      <c r="G131" s="79">
        <f>(('Heating Days Data'!I8/SUM('Heating Days Data'!I$6:I$11))*G$128)/$B$134</f>
        <v>0.1620052152</v>
      </c>
      <c r="H131" s="79">
        <f>(('Heating Days Data'!J8/SUM('Heating Days Data'!J$6:J$11))*H$128)/$B$134</f>
        <v>0.488900462</v>
      </c>
      <c r="I131" s="79">
        <f>(('Heating Days Data'!K8/SUM('Heating Days Data'!K$6:K$11))*I$128)/$B$134</f>
        <v>1.074419614</v>
      </c>
      <c r="J131" s="79">
        <f>(('Heating Days Data'!L8/SUM('Heating Days Data'!L$6:L$11))*J$128)/$B$134</f>
        <v>1.057923511</v>
      </c>
      <c r="K131" s="79">
        <f>(('Heating Days Data'!M8/SUM('Heating Days Data'!M$6:M$11))*K$128)/$B$134</f>
        <v>0</v>
      </c>
      <c r="L131" s="79">
        <f>(('Heating Days Data'!N8/SUM('Heating Days Data'!N$6:N$11))*L$128)/$B$134</f>
        <v>0</v>
      </c>
      <c r="M131" s="79">
        <v>0.0</v>
      </c>
      <c r="N131" s="79">
        <v>0.0</v>
      </c>
      <c r="O131" s="92"/>
      <c r="P131" s="77"/>
      <c r="Q131" s="84"/>
      <c r="R131" s="93"/>
      <c r="S131" s="93"/>
      <c r="T131" s="93"/>
      <c r="U131" s="93"/>
    </row>
    <row r="132">
      <c r="A132" s="90" t="s">
        <v>202</v>
      </c>
      <c r="B132" s="84">
        <v>4.633431085043989</v>
      </c>
      <c r="C132" s="77">
        <v>0.0</v>
      </c>
      <c r="D132" s="77">
        <v>0.0</v>
      </c>
      <c r="E132" s="77">
        <v>0.0</v>
      </c>
      <c r="F132" s="79">
        <f>(('Heating Days Data'!H9/SUM('Heating Days Data'!H$6:H$11))*F$128)/$B$134</f>
        <v>0</v>
      </c>
      <c r="G132" s="79">
        <f>(('Heating Days Data'!I9/SUM('Heating Days Data'!I$6:I$11))*G$128)/$B$134</f>
        <v>0.5154711392</v>
      </c>
      <c r="H132" s="79">
        <f>(('Heating Days Data'!J9/SUM('Heating Days Data'!J$6:J$11))*H$128)/$B$134</f>
        <v>0.7758637766</v>
      </c>
      <c r="I132" s="79">
        <f>(('Heating Days Data'!K9/SUM('Heating Days Data'!K$6:K$11))*I$128)/$B$134</f>
        <v>1.539033501</v>
      </c>
      <c r="J132" s="79">
        <f>(('Heating Days Data'!L9/SUM('Heating Days Data'!L$6:L$11))*J$128)/$B$134</f>
        <v>2.348074133</v>
      </c>
      <c r="K132" s="79">
        <f>(('Heating Days Data'!M9/SUM('Heating Days Data'!M$6:M$11))*K$128)/$B$134</f>
        <v>0.4862988715</v>
      </c>
      <c r="L132" s="79">
        <f>(('Heating Days Data'!N9/SUM('Heating Days Data'!N$6:N$11))*L$128)/$B$134</f>
        <v>0</v>
      </c>
      <c r="M132" s="79">
        <v>0.0</v>
      </c>
      <c r="N132" s="79">
        <v>0.0</v>
      </c>
      <c r="O132" s="77"/>
      <c r="P132" s="77"/>
      <c r="Q132" s="78"/>
      <c r="R132" s="91"/>
      <c r="S132" s="91"/>
      <c r="T132" s="91"/>
      <c r="U132" s="91"/>
    </row>
    <row r="133">
      <c r="A133" s="90" t="s">
        <v>201</v>
      </c>
      <c r="B133" s="78">
        <v>4.633431085043989</v>
      </c>
      <c r="C133" s="5">
        <v>0.0</v>
      </c>
      <c r="D133" s="5">
        <v>0.0</v>
      </c>
      <c r="E133" s="5">
        <v>0.0</v>
      </c>
      <c r="F133" s="79">
        <f>(('Heating Days Data'!H10/SUM('Heating Days Data'!H$6:H$11))*F$128)/$B$134</f>
        <v>0</v>
      </c>
      <c r="G133" s="79">
        <f>(('Heating Days Data'!I10/SUM('Heating Days Data'!I$6:I$11))*G$128)/$B$134</f>
        <v>0.5596543797</v>
      </c>
      <c r="H133" s="79">
        <f>(('Heating Days Data'!J10/SUM('Heating Days Data'!J$6:J$11))*H$128)/$B$134</f>
        <v>1.009685737</v>
      </c>
      <c r="I133" s="79">
        <f>(('Heating Days Data'!K10/SUM('Heating Days Data'!K$6:K$11))*I$128)/$B$134</f>
        <v>1.350284109</v>
      </c>
      <c r="J133" s="79">
        <f>(('Heating Days Data'!L10/SUM('Heating Days Data'!L$6:L$11))*J$128)/$B$134</f>
        <v>2.864134383</v>
      </c>
      <c r="K133" s="79">
        <f>(('Heating Days Data'!M10/SUM('Heating Days Data'!M$6:M$11))*K$128)/$B$134</f>
        <v>1.172838455</v>
      </c>
      <c r="L133" s="79">
        <f>(('Heating Days Data'!N10/SUM('Heating Days Data'!N$6:N$11))*L$128)/$B$134</f>
        <v>0</v>
      </c>
      <c r="M133" s="79">
        <v>0.0</v>
      </c>
      <c r="N133" s="79">
        <v>0.0</v>
      </c>
      <c r="P133" s="77"/>
    </row>
    <row r="134">
      <c r="A134" s="90" t="s">
        <v>200</v>
      </c>
      <c r="B134" s="1">
        <v>4.633431085043989</v>
      </c>
      <c r="C134" s="5">
        <v>0.0</v>
      </c>
      <c r="D134" s="5">
        <v>0.0</v>
      </c>
      <c r="E134" s="5">
        <v>0.0</v>
      </c>
      <c r="F134" s="79">
        <f>(('Heating Days Data'!H11/SUM('Heating Days Data'!H$6:H$11))*F$128)/$B$134</f>
        <v>0.6480208608</v>
      </c>
      <c r="G134" s="79">
        <f>(('Heating Days Data'!I11/SUM('Heating Days Data'!I$6:I$11))*G$128)/$B$134</f>
        <v>1.134036506</v>
      </c>
      <c r="H134" s="79">
        <f>(('Heating Days Data'!J11/SUM('Heating Days Data'!J$6:J$11))*H$128)/$B$134</f>
        <v>1.594240637</v>
      </c>
      <c r="I134" s="79">
        <f>(('Heating Days Data'!K11/SUM('Heating Days Data'!K$6:K$11))*I$128)/$B$134</f>
        <v>2.497299643</v>
      </c>
      <c r="J134" s="79">
        <f>(('Heating Days Data'!L11/SUM('Heating Days Data'!L$6:L$11))*J$128)/$B$134</f>
        <v>3.173770532</v>
      </c>
      <c r="K134" s="79">
        <f>(('Heating Days Data'!M11/SUM('Heating Days Data'!M$6:M$11))*K$128)/$B$134</f>
        <v>2.05961875</v>
      </c>
      <c r="L134" s="79">
        <f>(('Heating Days Data'!N11/SUM('Heating Days Data'!N$6:N$11))*L$128)/$B$134</f>
        <v>0.8763009367</v>
      </c>
      <c r="M134" s="79">
        <v>0.0</v>
      </c>
      <c r="N134" s="79">
        <v>0.0</v>
      </c>
      <c r="P134" s="77"/>
    </row>
    <row r="135">
      <c r="A135" s="5" t="s">
        <v>307</v>
      </c>
      <c r="C135" s="70">
        <f t="shared" ref="C135:N135" si="50">Sum(C129:C134)</f>
        <v>0</v>
      </c>
      <c r="D135" s="70">
        <f t="shared" si="50"/>
        <v>0</v>
      </c>
      <c r="E135" s="70">
        <f t="shared" si="50"/>
        <v>0</v>
      </c>
      <c r="F135" s="195">
        <f t="shared" si="50"/>
        <v>0.6480208608</v>
      </c>
      <c r="G135" s="195">
        <f t="shared" si="50"/>
        <v>2.400622734</v>
      </c>
      <c r="H135" s="195">
        <f t="shared" si="50"/>
        <v>4.123769114</v>
      </c>
      <c r="I135" s="195">
        <f t="shared" si="50"/>
        <v>6.664305443</v>
      </c>
      <c r="J135" s="195">
        <f t="shared" si="50"/>
        <v>9.676129671</v>
      </c>
      <c r="K135" s="195">
        <f t="shared" si="50"/>
        <v>3.718756076</v>
      </c>
      <c r="L135" s="195">
        <f t="shared" si="50"/>
        <v>0.8763009367</v>
      </c>
      <c r="M135" s="195">
        <f t="shared" si="50"/>
        <v>0</v>
      </c>
      <c r="N135" s="195">
        <f t="shared" si="50"/>
        <v>0</v>
      </c>
    </row>
    <row r="136">
      <c r="G136" s="73"/>
      <c r="H136" s="73"/>
      <c r="I136" s="73"/>
      <c r="J136" s="73"/>
      <c r="K136" s="73"/>
    </row>
    <row r="137">
      <c r="G137" s="73"/>
      <c r="H137" s="73"/>
      <c r="I137" s="73"/>
      <c r="J137" s="73"/>
      <c r="K137" s="73"/>
    </row>
    <row r="138">
      <c r="C138" s="196">
        <v>5764.81</v>
      </c>
      <c r="D138" s="196">
        <v>5803.6</v>
      </c>
      <c r="E138" s="196">
        <v>4570.75</v>
      </c>
      <c r="F138" s="196">
        <v>5555.13</v>
      </c>
      <c r="G138" s="196">
        <v>2253.71</v>
      </c>
      <c r="H138" s="196">
        <v>1482.38</v>
      </c>
      <c r="I138" s="197">
        <v>572.72</v>
      </c>
      <c r="J138" s="197">
        <v>376.73</v>
      </c>
      <c r="K138" s="197">
        <v>848.58</v>
      </c>
      <c r="L138" s="196">
        <v>1340.96</v>
      </c>
      <c r="M138" s="196">
        <v>1844.74</v>
      </c>
      <c r="N138" s="196">
        <v>3974.89</v>
      </c>
      <c r="O138" s="99"/>
    </row>
    <row r="139">
      <c r="A139" s="100" t="s">
        <v>308</v>
      </c>
      <c r="C139" s="1">
        <v>-220.28901999999997</v>
      </c>
      <c r="D139" s="1">
        <v>-216.92942000000005</v>
      </c>
      <c r="E139" s="1">
        <v>-160.97672</v>
      </c>
      <c r="F139" s="1">
        <v>-222.03468</v>
      </c>
      <c r="G139" s="1">
        <v>-27.03649999999999</v>
      </c>
      <c r="H139" s="1">
        <v>6.411659999999998</v>
      </c>
      <c r="I139" s="1">
        <v>65.46412</v>
      </c>
      <c r="J139" s="1">
        <v>93.73444000000002</v>
      </c>
      <c r="K139" s="1">
        <v>46.670759999999994</v>
      </c>
      <c r="L139" s="1">
        <v>20.655759999999987</v>
      </c>
      <c r="M139" s="1">
        <v>1.659559999999999</v>
      </c>
      <c r="N139" s="1">
        <v>-136.20872</v>
      </c>
      <c r="O139" s="77"/>
    </row>
    <row r="140">
      <c r="A140" s="100" t="s">
        <v>309</v>
      </c>
      <c r="C140" s="198">
        <f t="shared" ref="C140:N140" si="51">C139*3.412</f>
        <v>-751.6261362</v>
      </c>
      <c r="D140" s="198">
        <f t="shared" si="51"/>
        <v>-740.163181</v>
      </c>
      <c r="E140" s="198">
        <f t="shared" si="51"/>
        <v>-549.2525686</v>
      </c>
      <c r="F140" s="198">
        <f t="shared" si="51"/>
        <v>-757.5823282</v>
      </c>
      <c r="G140" s="198">
        <f t="shared" si="51"/>
        <v>-92.248538</v>
      </c>
      <c r="H140" s="198">
        <f t="shared" si="51"/>
        <v>21.87658392</v>
      </c>
      <c r="I140" s="198">
        <f t="shared" si="51"/>
        <v>223.3635774</v>
      </c>
      <c r="J140" s="198">
        <f t="shared" si="51"/>
        <v>319.8219093</v>
      </c>
      <c r="K140" s="198">
        <f t="shared" si="51"/>
        <v>159.2406331</v>
      </c>
      <c r="L140" s="198">
        <f t="shared" si="51"/>
        <v>70.47745312</v>
      </c>
      <c r="M140" s="198">
        <f t="shared" si="51"/>
        <v>5.66241872</v>
      </c>
      <c r="N140" s="198">
        <f t="shared" si="51"/>
        <v>-464.7441526</v>
      </c>
      <c r="O140" s="198"/>
    </row>
    <row r="141">
      <c r="A141" s="199" t="s">
        <v>197</v>
      </c>
      <c r="C141" s="200">
        <f t="shared" ref="C141:N141" si="52">C138+C140</f>
        <v>5013.183864</v>
      </c>
      <c r="D141" s="200">
        <f t="shared" si="52"/>
        <v>5063.436819</v>
      </c>
      <c r="E141" s="200">
        <f t="shared" si="52"/>
        <v>4021.497431</v>
      </c>
      <c r="F141" s="200">
        <f t="shared" si="52"/>
        <v>4797.547672</v>
      </c>
      <c r="G141" s="200">
        <f t="shared" si="52"/>
        <v>2161.461462</v>
      </c>
      <c r="H141" s="200">
        <f t="shared" si="52"/>
        <v>1504.256584</v>
      </c>
      <c r="I141" s="200">
        <f t="shared" si="52"/>
        <v>796.0835774</v>
      </c>
      <c r="J141" s="200">
        <f t="shared" si="52"/>
        <v>696.5519093</v>
      </c>
      <c r="K141" s="200">
        <f t="shared" si="52"/>
        <v>1007.820633</v>
      </c>
      <c r="L141" s="200">
        <f t="shared" si="52"/>
        <v>1411.437453</v>
      </c>
      <c r="M141" s="200">
        <f t="shared" si="52"/>
        <v>1850.402419</v>
      </c>
      <c r="N141" s="200">
        <f t="shared" si="52"/>
        <v>3510.145847</v>
      </c>
      <c r="O141" s="198"/>
    </row>
    <row r="142">
      <c r="A142" s="100" t="s">
        <v>206</v>
      </c>
      <c r="B142" s="1">
        <v>4.0</v>
      </c>
      <c r="C142" s="198">
        <f>(('Heating Days Data'!E23/SUM('Heating Days Data'!E$23:E$37))*C$141)/$B142</f>
        <v>0</v>
      </c>
      <c r="D142" s="198">
        <f>(('Heating Days Data'!F23/SUM('Heating Days Data'!F$23:F$37))*D$141)/$B142</f>
        <v>0</v>
      </c>
      <c r="E142" s="198">
        <f>(('Heating Days Data'!G23/SUM('Heating Days Data'!G$23:G$37))*E$141)/$B142</f>
        <v>12.16178659</v>
      </c>
      <c r="F142" s="198">
        <f>(('Heating Days Data'!H23/SUM('Heating Days Data'!H$23:H$37))*F$141)/$B142</f>
        <v>80.29368488</v>
      </c>
      <c r="G142" s="198">
        <f>(('Heating Days Data'!I23/SUM('Heating Days Data'!I$23:I$37))*G$141)/$B142</f>
        <v>112.3440021</v>
      </c>
      <c r="H142" s="198">
        <f>(('Heating Days Data'!J23/SUM('Heating Days Data'!J$23:J$37))*H$141)/$B142</f>
        <v>224.2792196</v>
      </c>
      <c r="I142" s="198">
        <f>(('Heating Days Data'!K23/SUM('Heating Days Data'!K$23:K$37))*I$141)/$B142</f>
        <v>106.8427959</v>
      </c>
      <c r="J142" s="198">
        <f>(('Heating Days Data'!L23/SUM('Heating Days Data'!L$23:L$37))*J$141)/$B142</f>
        <v>109.0132053</v>
      </c>
      <c r="K142" s="198">
        <f>(('Heating Days Data'!M23/SUM('Heating Days Data'!M$23:M$37))*K$141)/$B142</f>
        <v>71.74316371</v>
      </c>
      <c r="L142" s="198">
        <f>(('Heating Days Data'!N23/SUM('Heating Days Data'!N$23:N$37))*L$141)/$B142</f>
        <v>49.9283997</v>
      </c>
      <c r="M142" s="198">
        <f>(('Heating Days Data'!O23/SUM('Heating Days Data'!O$23:O$37))*M$141)/$B142</f>
        <v>3.212504199</v>
      </c>
      <c r="N142" s="198">
        <f>(('Heating Days Data'!P23/SUM('Heating Days Data'!P$23:P$37))*N$141)/$B142</f>
        <v>0</v>
      </c>
      <c r="O142" s="77"/>
    </row>
    <row r="143">
      <c r="A143" s="100" t="s">
        <v>207</v>
      </c>
      <c r="B143" s="1">
        <v>4.0</v>
      </c>
      <c r="C143" s="198">
        <f>(('Heating Days Data'!E24/SUM('Heating Days Data'!E$23:E$37))*C$141)/$B143</f>
        <v>0</v>
      </c>
      <c r="D143" s="198">
        <f>(('Heating Days Data'!F24/SUM('Heating Days Data'!F$23:F$37))*D$141)/$B143</f>
        <v>0</v>
      </c>
      <c r="E143" s="198">
        <f>(('Heating Days Data'!G24/SUM('Heating Days Data'!G$23:G$37))*E$141)/$B143</f>
        <v>51.34976559</v>
      </c>
      <c r="F143" s="198">
        <f>(('Heating Days Data'!H24/SUM('Heating Days Data'!H$23:H$37))*F$141)/$B143</f>
        <v>100.3671061</v>
      </c>
      <c r="G143" s="198">
        <f>(('Heating Days Data'!I24/SUM('Heating Days Data'!I$23:I$37))*G$141)/$B143</f>
        <v>149.4825152</v>
      </c>
      <c r="H143" s="198">
        <f>(('Heating Days Data'!J24/SUM('Heating Days Data'!J$23:J$37))*H$141)/$B143</f>
        <v>71.36156987</v>
      </c>
      <c r="I143" s="198">
        <f>(('Heating Days Data'!K24/SUM('Heating Days Data'!K$23:K$37))*I$141)/$B143</f>
        <v>56.56383313</v>
      </c>
      <c r="J143" s="198">
        <f>(('Heating Days Data'!L24/SUM('Heating Days Data'!L$23:L$37))*J$141)/$B143</f>
        <v>51.91105015</v>
      </c>
      <c r="K143" s="198">
        <f>(('Heating Days Data'!M24/SUM('Heating Days Data'!M$23:M$37))*K$141)/$B143</f>
        <v>68.32682258</v>
      </c>
      <c r="L143" s="198">
        <f>(('Heating Days Data'!N24/SUM('Heating Days Data'!N$23:N$37))*L$141)/$B143</f>
        <v>54.2491266</v>
      </c>
      <c r="M143" s="198">
        <f>(('Heating Days Data'!O24/SUM('Heating Days Data'!O$23:O$37))*M$141)/$B143</f>
        <v>30.84004031</v>
      </c>
      <c r="N143" s="198">
        <f>(('Heating Days Data'!P24/SUM('Heating Days Data'!P$23:P$37))*N$141)/$B143</f>
        <v>2.358968983</v>
      </c>
      <c r="O143" s="77"/>
    </row>
    <row r="144">
      <c r="A144" s="100" t="s">
        <v>208</v>
      </c>
      <c r="B144" s="1">
        <v>3.98</v>
      </c>
      <c r="C144" s="198">
        <f>(('Heating Days Data'!E25/SUM('Heating Days Data'!E$23:E$37))*C$141)/$B144</f>
        <v>0</v>
      </c>
      <c r="D144" s="198">
        <f>(('Heating Days Data'!F25/SUM('Heating Days Data'!F$23:F$37))*D$141)/$B144</f>
        <v>0</v>
      </c>
      <c r="E144" s="198">
        <f>(('Heating Days Data'!G25/SUM('Heating Days Data'!G$23:G$37))*E$141)/$B144</f>
        <v>57.0402051</v>
      </c>
      <c r="F144" s="198">
        <f>(('Heating Days Data'!H25/SUM('Heating Days Data'!H$23:H$37))*F$141)/$B144</f>
        <v>164.7567236</v>
      </c>
      <c r="G144" s="198">
        <f>(('Heating Days Data'!I25/SUM('Heating Days Data'!I$23:I$37))*G$141)/$B144</f>
        <v>121.3067011</v>
      </c>
      <c r="H144" s="198">
        <f>(('Heating Days Data'!J25/SUM('Heating Days Data'!J$23:J$37))*H$141)/$B144</f>
        <v>30.73721602</v>
      </c>
      <c r="I144" s="198">
        <f>(('Heating Days Data'!K25/SUM('Heating Days Data'!K$23:K$37))*I$141)/$B144</f>
        <v>23.86215431</v>
      </c>
      <c r="J144" s="198">
        <f>(('Heating Days Data'!L25/SUM('Heating Days Data'!L$23:L$37))*J$141)/$B144</f>
        <v>12.33154229</v>
      </c>
      <c r="K144" s="198">
        <f>(('Heating Days Data'!M25/SUM('Heating Days Data'!M$23:M$37))*K$141)/$B144</f>
        <v>37.33940681</v>
      </c>
      <c r="L144" s="198">
        <f>(('Heating Days Data'!N25/SUM('Heating Days Data'!N$23:N$37))*L$141)/$B144</f>
        <v>46.31935032</v>
      </c>
      <c r="M144" s="198">
        <f>(('Heating Days Data'!O25/SUM('Heating Days Data'!O$23:O$37))*M$141)/$B144</f>
        <v>25.18345</v>
      </c>
      <c r="N144" s="198">
        <f>(('Heating Days Data'!P25/SUM('Heating Days Data'!P$23:P$37))*N$141)/$B144</f>
        <v>5.927057747</v>
      </c>
      <c r="O144" s="77"/>
    </row>
    <row r="145">
      <c r="A145" s="100" t="s">
        <v>210</v>
      </c>
      <c r="B145" s="1">
        <v>3.98</v>
      </c>
      <c r="C145" s="198">
        <f>(('Heating Days Data'!E26/SUM('Heating Days Data'!E$23:E$37))*C$141)/$B145</f>
        <v>72.79911187</v>
      </c>
      <c r="D145" s="198">
        <f>(('Heating Days Data'!F26/SUM('Heating Days Data'!F$23:F$37))*D$141)/$B145</f>
        <v>1.89318498</v>
      </c>
      <c r="E145" s="198">
        <f>(('Heating Days Data'!G26/SUM('Heating Days Data'!G$23:G$37))*E$141)/$B145</f>
        <v>63.8307057</v>
      </c>
      <c r="F145" s="198">
        <f>(('Heating Days Data'!H26/SUM('Heating Days Data'!H$23:H$37))*F$141)/$B145</f>
        <v>322.788683</v>
      </c>
      <c r="G145" s="198">
        <f>(('Heating Days Data'!I26/SUM('Heating Days Data'!I$23:I$37))*G$141)/$B145</f>
        <v>73.7171491</v>
      </c>
      <c r="H145" s="198">
        <f>(('Heating Days Data'!J26/SUM('Heating Days Data'!J$23:J$37))*H$141)/$B145</f>
        <v>28.46038521</v>
      </c>
      <c r="I145" s="198">
        <f>(('Heating Days Data'!K26/SUM('Heating Days Data'!K$23:K$37))*I$141)/$B145</f>
        <v>11.93107715</v>
      </c>
      <c r="J145" s="198">
        <f>(('Heating Days Data'!L26/SUM('Heating Days Data'!L$23:L$37))*J$141)/$B145</f>
        <v>0.9485801763</v>
      </c>
      <c r="K145" s="198">
        <f>(('Heating Days Data'!M26/SUM('Heating Days Data'!M$23:M$37))*K$141)/$B145</f>
        <v>51.50263009</v>
      </c>
      <c r="L145" s="198">
        <f>(('Heating Days Data'!N26/SUM('Heating Days Data'!N$23:N$37))*L$141)/$B145</f>
        <v>81.5413563</v>
      </c>
      <c r="M145" s="198">
        <f>(('Heating Days Data'!O26/SUM('Heating Days Data'!O$23:O$37))*M$141)/$B145</f>
        <v>43.90960513</v>
      </c>
      <c r="N145" s="198">
        <f>(('Heating Days Data'!P26/SUM('Heating Days Data'!P$23:P$37))*N$141)/$B145</f>
        <v>24.89364254</v>
      </c>
      <c r="O145" s="77"/>
    </row>
    <row r="146">
      <c r="A146" s="100" t="s">
        <v>211</v>
      </c>
      <c r="B146" s="201">
        <v>3.95</v>
      </c>
      <c r="C146" s="198">
        <f>(('Heating Days Data'!E27/SUM('Heating Days Data'!E$23:E$37))*C$141)/$B146</f>
        <v>63.11685142</v>
      </c>
      <c r="D146" s="198">
        <f>(('Heating Days Data'!F27/SUM('Heating Days Data'!F$23:F$37))*D$141)/$B146</f>
        <v>49.59665359</v>
      </c>
      <c r="E146" s="198">
        <f>(('Heating Days Data'!G27/SUM('Heating Days Data'!G$23:G$37))*E$141)/$B146</f>
        <v>57.47342184</v>
      </c>
      <c r="F146" s="198">
        <f>(('Heating Days Data'!H27/SUM('Heating Days Data'!H$23:H$37))*F$141)/$B146</f>
        <v>257.4818587</v>
      </c>
      <c r="G146" s="198">
        <f>(('Heating Days Data'!I27/SUM('Heating Days Data'!I$23:I$37))*G$141)/$B146</f>
        <v>65.81508649</v>
      </c>
      <c r="H146" s="198">
        <f>(('Heating Days Data'!J27/SUM('Heating Days Data'!J$23:J$37))*H$141)/$B146</f>
        <v>19.50004722</v>
      </c>
      <c r="I146" s="198">
        <f>(('Heating Days Data'!K27/SUM('Heating Days Data'!K$23:K$37))*I$141)/$B146</f>
        <v>0</v>
      </c>
      <c r="J146" s="198">
        <f>(('Heating Days Data'!L27/SUM('Heating Days Data'!L$23:L$37))*J$141)/$B146</f>
        <v>0</v>
      </c>
      <c r="K146" s="198">
        <f>(('Heating Days Data'!M27/SUM('Heating Days Data'!M$23:M$37))*K$141)/$B146</f>
        <v>13.40589557</v>
      </c>
      <c r="L146" s="198">
        <f>(('Heating Days Data'!N27/SUM('Heating Days Data'!N$23:N$37))*L$141)/$B146</f>
        <v>69.52055655</v>
      </c>
      <c r="M146" s="198">
        <f>(('Heating Days Data'!O27/SUM('Heating Days Data'!O$23:O$37))*M$141)/$B146</f>
        <v>73.52161509</v>
      </c>
      <c r="N146" s="198">
        <f>(('Heating Days Data'!P27/SUM('Heating Days Data'!P$23:P$37))*N$141)/$B146</f>
        <v>32.24919623</v>
      </c>
      <c r="O146" s="77"/>
    </row>
    <row r="147">
      <c r="A147" s="100" t="s">
        <v>212</v>
      </c>
      <c r="B147" s="202">
        <v>3.74</v>
      </c>
      <c r="C147" s="198">
        <f>(('Heating Days Data'!E28/SUM('Heating Days Data'!E$23:E$37))*C$141)/$B147</f>
        <v>93.68551295</v>
      </c>
      <c r="D147" s="198">
        <f>(('Heating Days Data'!F28/SUM('Heating Days Data'!F$23:F$37))*D$141)/$B147</f>
        <v>70.5135475</v>
      </c>
      <c r="E147" s="198">
        <f>(('Heating Days Data'!G28/SUM('Heating Days Data'!G$23:G$37))*E$141)/$B147</f>
        <v>171.9848608</v>
      </c>
      <c r="F147" s="198">
        <f>(('Heating Days Data'!H28/SUM('Heating Days Data'!H$23:H$37))*F$141)/$B147</f>
        <v>202.1654722</v>
      </c>
      <c r="G147" s="198">
        <f>(('Heating Days Data'!I28/SUM('Heating Days Data'!I$23:I$37))*G$141)/$B147</f>
        <v>18.86715906</v>
      </c>
      <c r="H147" s="198">
        <f>(('Heating Days Data'!J28/SUM('Heating Days Data'!J$23:J$37))*H$141)/$B147</f>
        <v>2.422937607</v>
      </c>
      <c r="I147" s="198">
        <f>(('Heating Days Data'!K28/SUM('Heating Days Data'!K$23:K$37))*I$141)/$B147</f>
        <v>0</v>
      </c>
      <c r="J147" s="198">
        <f>(('Heating Days Data'!L28/SUM('Heating Days Data'!L$23:L$37))*J$141)/$B147</f>
        <v>0</v>
      </c>
      <c r="K147" s="198">
        <f>(('Heating Days Data'!M28/SUM('Heating Days Data'!M$23:M$37))*K$141)/$B147</f>
        <v>10.96152234</v>
      </c>
      <c r="L147" s="198">
        <f>(('Heating Days Data'!N28/SUM('Heating Days Data'!N$23:N$37))*L$141)/$B147</f>
        <v>36.45533092</v>
      </c>
      <c r="M147" s="198">
        <f>(('Heating Days Data'!O28/SUM('Heating Days Data'!O$23:O$37))*M$141)/$B147</f>
        <v>163.5456683</v>
      </c>
      <c r="N147" s="198">
        <f>(('Heating Days Data'!P28/SUM('Heating Days Data'!P$23:P$37))*N$141)/$B147</f>
        <v>148.8547273</v>
      </c>
      <c r="O147" s="77"/>
    </row>
    <row r="148">
      <c r="A148" s="100" t="s">
        <v>213</v>
      </c>
      <c r="B148" s="202">
        <v>3.72</v>
      </c>
      <c r="C148" s="198">
        <f>(('Heating Days Data'!E29/SUM('Heating Days Data'!E$23:E$37))*C$141)/$B148</f>
        <v>206.4917044</v>
      </c>
      <c r="D148" s="198">
        <f>(('Heating Days Data'!F29/SUM('Heating Days Data'!F$23:F$37))*D$141)/$B148</f>
        <v>261.2900624</v>
      </c>
      <c r="E148" s="198">
        <f>(('Heating Days Data'!G29/SUM('Heating Days Data'!G$23:G$37))*E$141)/$B148</f>
        <v>281.8860929</v>
      </c>
      <c r="F148" s="198">
        <f>(('Heating Days Data'!H29/SUM('Heating Days Data'!H$23:H$37))*F$141)/$B148</f>
        <v>53.96080973</v>
      </c>
      <c r="G148" s="198">
        <f>(('Heating Days Data'!I29/SUM('Heating Days Data'!I$23:I$37))*G$141)/$B148</f>
        <v>1.996694252</v>
      </c>
      <c r="H148" s="198">
        <f>(('Heating Days Data'!J29/SUM('Heating Days Data'!J$23:J$37))*H$141)/$B148</f>
        <v>0</v>
      </c>
      <c r="I148" s="198">
        <f>(('Heating Days Data'!K29/SUM('Heating Days Data'!K$23:K$37))*I$141)/$B148</f>
        <v>0</v>
      </c>
      <c r="J148" s="198">
        <f>(('Heating Days Data'!L29/SUM('Heating Days Data'!L$23:L$37))*J$141)/$B148</f>
        <v>0</v>
      </c>
      <c r="K148" s="198">
        <f>(('Heating Days Data'!M29/SUM('Heating Days Data'!M$23:M$37))*K$141)/$B148</f>
        <v>0</v>
      </c>
      <c r="L148" s="198">
        <f>(('Heating Days Data'!N29/SUM('Heating Days Data'!N$23:N$37))*L$141)/$B148</f>
        <v>16.51890809</v>
      </c>
      <c r="M148" s="198">
        <f>(('Heating Days Data'!O29/SUM('Heating Days Data'!O$23:O$37))*M$141)/$B148</f>
        <v>121.5915568</v>
      </c>
      <c r="N148" s="198">
        <f>(('Heating Days Data'!P29/SUM('Heating Days Data'!P$23:P$37))*N$141)/$B148</f>
        <v>210.5316405</v>
      </c>
      <c r="O148" s="77"/>
    </row>
    <row r="149">
      <c r="A149" s="100" t="s">
        <v>214</v>
      </c>
      <c r="B149" s="202">
        <v>3.74</v>
      </c>
      <c r="C149" s="198">
        <f>(('Heating Days Data'!E30/SUM('Heating Days Data'!E$23:E$37))*C$141)/$B149</f>
        <v>136.9249805</v>
      </c>
      <c r="D149" s="198">
        <f>(('Heating Days Data'!F30/SUM('Heating Days Data'!F$23:F$37))*D$141)/$B149</f>
        <v>261.9074621</v>
      </c>
      <c r="E149" s="198">
        <f>(('Heating Days Data'!G30/SUM('Heating Days Data'!G$23:G$37))*E$141)/$B149</f>
        <v>135.8535875</v>
      </c>
      <c r="F149" s="198">
        <f>(('Heating Days Data'!H30/SUM('Heating Days Data'!H$23:H$37))*F$141)/$B149</f>
        <v>19.67982473</v>
      </c>
      <c r="G149" s="198">
        <f>(('Heating Days Data'!I30/SUM('Heating Days Data'!I$23:I$37))*G$141)/$B149</f>
        <v>0</v>
      </c>
      <c r="H149" s="198">
        <f>(('Heating Days Data'!J30/SUM('Heating Days Data'!J$23:J$37))*H$141)/$B149</f>
        <v>0</v>
      </c>
      <c r="I149" s="198">
        <f>(('Heating Days Data'!K30/SUM('Heating Days Data'!K$23:K$37))*I$141)/$B149</f>
        <v>0</v>
      </c>
      <c r="J149" s="198">
        <f>(('Heating Days Data'!L30/SUM('Heating Days Data'!L$23:L$37))*J$141)/$B149</f>
        <v>0</v>
      </c>
      <c r="K149" s="198">
        <f>(('Heating Days Data'!M30/SUM('Heating Days Data'!M$23:M$37))*K$141)/$B149</f>
        <v>0</v>
      </c>
      <c r="L149" s="198">
        <f>(('Heating Days Data'!N30/SUM('Heating Days Data'!N$23:N$37))*L$141)/$B149</f>
        <v>3.594187556</v>
      </c>
      <c r="M149" s="198">
        <f>(('Heating Days Data'!O30/SUM('Heating Days Data'!O$23:O$37))*M$141)/$B149</f>
        <v>22.67650023</v>
      </c>
      <c r="N149" s="198">
        <f>(('Heating Days Data'!P30/SUM('Heating Days Data'!P$23:P$37))*N$141)/$B149</f>
        <v>136.2399199</v>
      </c>
      <c r="O149" s="77"/>
    </row>
    <row r="150">
      <c r="A150" s="100" t="s">
        <v>215</v>
      </c>
      <c r="B150" s="202">
        <v>3.74</v>
      </c>
      <c r="C150" s="198">
        <f>(('Heating Days Data'!E31/SUM('Heating Days Data'!E$23:E$37))*C$141)/$B150</f>
        <v>248.6269382</v>
      </c>
      <c r="D150" s="198">
        <f>(('Heating Days Data'!F31/SUM('Heating Days Data'!F$23:F$37))*D$141)/$B150</f>
        <v>225.643352</v>
      </c>
      <c r="E150" s="198">
        <f>(('Heating Days Data'!G31/SUM('Heating Days Data'!G$23:G$37))*E$141)/$B150</f>
        <v>93.94131053</v>
      </c>
      <c r="F150" s="198">
        <f>(('Heating Days Data'!H31/SUM('Heating Days Data'!H$23:H$37))*F$141)/$B150</f>
        <v>23.25797468</v>
      </c>
      <c r="G150" s="198">
        <f>(('Heating Days Data'!I31/SUM('Heating Days Data'!I$23:I$37))*G$141)/$B150</f>
        <v>0</v>
      </c>
      <c r="H150" s="198">
        <f>(('Heating Days Data'!J31/SUM('Heating Days Data'!J$23:J$37))*H$141)/$B150</f>
        <v>0</v>
      </c>
      <c r="I150" s="198">
        <f>(('Heating Days Data'!K31/SUM('Heating Days Data'!K$23:K$37))*I$141)/$B150</f>
        <v>0</v>
      </c>
      <c r="J150" s="198">
        <f>(('Heating Days Data'!L31/SUM('Heating Days Data'!L$23:L$37))*J$141)/$B150</f>
        <v>0</v>
      </c>
      <c r="K150" s="198">
        <f>(('Heating Days Data'!M31/SUM('Heating Days Data'!M$23:M$37))*K$141)/$B150</f>
        <v>0</v>
      </c>
      <c r="L150" s="198">
        <f>(('Heating Days Data'!N31/SUM('Heating Days Data'!N$23:N$37))*L$141)/$B150</f>
        <v>0</v>
      </c>
      <c r="M150" s="198">
        <f>(('Heating Days Data'!O31/SUM('Heating Days Data'!O$23:O$37))*M$141)/$B150</f>
        <v>0</v>
      </c>
      <c r="N150" s="198">
        <f>(('Heating Days Data'!P31/SUM('Heating Days Data'!P$23:P$37))*N$141)/$B150</f>
        <v>165.2539769</v>
      </c>
      <c r="O150" s="77"/>
    </row>
    <row r="151">
      <c r="A151" s="100" t="s">
        <v>216</v>
      </c>
      <c r="B151" s="202">
        <v>3.74</v>
      </c>
      <c r="C151" s="198">
        <f>(('Heating Days Data'!E32/SUM('Heating Days Data'!E$23:E$37))*C$141)/$B151</f>
        <v>142.3299139</v>
      </c>
      <c r="D151" s="198">
        <f>(('Heating Days Data'!F32/SUM('Heating Days Data'!F$23:F$37))*D$141)/$B151</f>
        <v>269.9661533</v>
      </c>
      <c r="E151" s="198">
        <f>(('Heating Days Data'!G32/SUM('Heating Days Data'!G$23:G$37))*E$141)/$B151</f>
        <v>101.1675652</v>
      </c>
      <c r="F151" s="198">
        <f>(('Heating Days Data'!H32/SUM('Heating Days Data'!H$23:H$37))*F$141)/$B151</f>
        <v>0</v>
      </c>
      <c r="G151" s="198">
        <f>(('Heating Days Data'!I32/SUM('Heating Days Data'!I$23:I$37))*G$141)/$B151</f>
        <v>0</v>
      </c>
      <c r="H151" s="198">
        <f>(('Heating Days Data'!J32/SUM('Heating Days Data'!J$23:J$37))*H$141)/$B151</f>
        <v>0</v>
      </c>
      <c r="I151" s="198">
        <f>(('Heating Days Data'!K32/SUM('Heating Days Data'!K$23:K$37))*I$141)/$B151</f>
        <v>0</v>
      </c>
      <c r="J151" s="198">
        <f>(('Heating Days Data'!L32/SUM('Heating Days Data'!L$23:L$37))*J$141)/$B151</f>
        <v>0</v>
      </c>
      <c r="K151" s="198">
        <f>(('Heating Days Data'!M32/SUM('Heating Days Data'!M$23:M$37))*K$141)/$B151</f>
        <v>0</v>
      </c>
      <c r="L151" s="198">
        <f>(('Heating Days Data'!N32/SUM('Heating Days Data'!N$23:N$37))*L$141)/$B151</f>
        <v>0</v>
      </c>
      <c r="M151" s="198">
        <f>(('Heating Days Data'!O32/SUM('Heating Days Data'!O$23:O$37))*M$141)/$B151</f>
        <v>0</v>
      </c>
      <c r="N151" s="198">
        <f>(('Heating Days Data'!P32/SUM('Heating Days Data'!P$23:P$37))*N$141)/$B151</f>
        <v>160.208054</v>
      </c>
      <c r="O151" s="77"/>
    </row>
    <row r="152">
      <c r="A152" s="203">
        <v>44484.0</v>
      </c>
      <c r="B152" s="202">
        <v>3.74</v>
      </c>
      <c r="C152" s="198">
        <f>(('Heating Days Data'!E33/SUM('Heating Days Data'!E$23:E$37))*C$141)/$B152</f>
        <v>142.3299139</v>
      </c>
      <c r="D152" s="198">
        <f>(('Heating Days Data'!F33/SUM('Heating Days Data'!F$23:F$37))*D$141)/$B152</f>
        <v>114.8363488</v>
      </c>
      <c r="E152" s="198">
        <f>(('Heating Days Data'!G33/SUM('Heating Days Data'!G$23:G$37))*E$141)/$B152</f>
        <v>26.01451676</v>
      </c>
      <c r="F152" s="198">
        <f>(('Heating Days Data'!H33/SUM('Heating Days Data'!H$23:H$37))*F$141)/$B152</f>
        <v>0</v>
      </c>
      <c r="G152" s="198">
        <f>(('Heating Days Data'!I33/SUM('Heating Days Data'!I$23:I$37))*G$141)/$B152</f>
        <v>0</v>
      </c>
      <c r="H152" s="198">
        <f>(('Heating Days Data'!J33/SUM('Heating Days Data'!J$23:J$37))*H$141)/$B152</f>
        <v>0</v>
      </c>
      <c r="I152" s="198">
        <f>(('Heating Days Data'!K33/SUM('Heating Days Data'!K$23:K$37))*I$141)/$B152</f>
        <v>0</v>
      </c>
      <c r="J152" s="198">
        <f>(('Heating Days Data'!L33/SUM('Heating Days Data'!L$23:L$37))*J$141)/$B152</f>
        <v>0</v>
      </c>
      <c r="K152" s="198">
        <f>(('Heating Days Data'!M33/SUM('Heating Days Data'!M$23:M$37))*K$141)/$B152</f>
        <v>0</v>
      </c>
      <c r="L152" s="198">
        <f>(('Heating Days Data'!N33/SUM('Heating Days Data'!N$23:N$37))*L$141)/$B152</f>
        <v>0</v>
      </c>
      <c r="M152" s="198">
        <f>(('Heating Days Data'!O33/SUM('Heating Days Data'!O$23:O$37))*M$141)/$B152</f>
        <v>0</v>
      </c>
      <c r="N152" s="198">
        <f>(('Heating Days Data'!P33/SUM('Heating Days Data'!P$23:P$37))*N$141)/$B152</f>
        <v>39.10590293</v>
      </c>
      <c r="O152" s="77"/>
    </row>
    <row r="153">
      <c r="A153" s="203">
        <v>44326.0</v>
      </c>
      <c r="B153" s="202">
        <v>3.36</v>
      </c>
      <c r="C153" s="198">
        <f>(('Heating Days Data'!E34/SUM('Heating Days Data'!E$23:E$37))*C$141)/$B153</f>
        <v>116.3133097</v>
      </c>
      <c r="D153" s="198">
        <f>(('Heating Days Data'!F34/SUM('Heating Days Data'!F$23:F$37))*D$141)/$B153</f>
        <v>91.94343005</v>
      </c>
      <c r="E153" s="198">
        <f>(('Heating Days Data'!G34/SUM('Heating Days Data'!G$23:G$37))*E$141)/$B153</f>
        <v>9.652211577</v>
      </c>
      <c r="F153" s="198">
        <f>(('Heating Days Data'!H34/SUM('Heating Days Data'!H$23:H$37))*F$141)/$B153</f>
        <v>0</v>
      </c>
      <c r="G153" s="198">
        <f>(('Heating Days Data'!I34/SUM('Heating Days Data'!I$23:I$37))*G$141)/$B153</f>
        <v>0</v>
      </c>
      <c r="H153" s="198">
        <f>(('Heating Days Data'!J34/SUM('Heating Days Data'!J$23:J$37))*H$141)/$B153</f>
        <v>0</v>
      </c>
      <c r="I153" s="198">
        <f>(('Heating Days Data'!K34/SUM('Heating Days Data'!K$23:K$37))*I$141)/$B153</f>
        <v>0</v>
      </c>
      <c r="J153" s="198">
        <f>(('Heating Days Data'!L34/SUM('Heating Days Data'!L$23:L$37))*J$141)/$B153</f>
        <v>0</v>
      </c>
      <c r="K153" s="198">
        <f>(('Heating Days Data'!M34/SUM('Heating Days Data'!M$23:M$37))*K$141)/$B153</f>
        <v>0</v>
      </c>
      <c r="L153" s="198">
        <f>(('Heating Days Data'!N34/SUM('Heating Days Data'!N$23:N$37))*L$141)/$B153</f>
        <v>0</v>
      </c>
      <c r="M153" s="198">
        <f>(('Heating Days Data'!O34/SUM('Heating Days Data'!O$23:O$37))*M$141)/$B153</f>
        <v>0</v>
      </c>
      <c r="N153" s="198">
        <f>(('Heating Days Data'!P34/SUM('Heating Days Data'!P$23:P$37))*N$141)/$B153</f>
        <v>11.23318564</v>
      </c>
      <c r="O153" s="77"/>
    </row>
    <row r="154">
      <c r="A154" s="100" t="s">
        <v>218</v>
      </c>
      <c r="B154" s="202">
        <v>3.36</v>
      </c>
      <c r="C154" s="198">
        <f>(('Heating Days Data'!E35/SUM('Heating Days Data'!E$23:E$37))*C$141)/$B154</f>
        <v>86.23228132</v>
      </c>
      <c r="D154" s="198">
        <f>(('Heating Days Data'!F35/SUM('Heating Days Data'!F$23:F$37))*D$141)/$B154</f>
        <v>15.69765879</v>
      </c>
      <c r="E154" s="198">
        <f>(('Heating Days Data'!G35/SUM('Heating Days Data'!G$23:G$37))*E$141)/$B154</f>
        <v>0</v>
      </c>
      <c r="F154" s="198">
        <f>(('Heating Days Data'!H35/SUM('Heating Days Data'!H$23:H$37))*F$141)/$B154</f>
        <v>0</v>
      </c>
      <c r="G154" s="198">
        <f>(('Heating Days Data'!I35/SUM('Heating Days Data'!I$23:I$37))*G$141)/$B154</f>
        <v>0</v>
      </c>
      <c r="H154" s="198">
        <f>(('Heating Days Data'!J35/SUM('Heating Days Data'!J$23:J$37))*H$141)/$B154</f>
        <v>0</v>
      </c>
      <c r="I154" s="198">
        <f>(('Heating Days Data'!K35/SUM('Heating Days Data'!K$23:K$37))*I$141)/$B154</f>
        <v>0</v>
      </c>
      <c r="J154" s="198">
        <f>(('Heating Days Data'!L35/SUM('Heating Days Data'!L$23:L$37))*J$141)/$B154</f>
        <v>0</v>
      </c>
      <c r="K154" s="198">
        <f>(('Heating Days Data'!M35/SUM('Heating Days Data'!M$23:M$37))*K$141)/$B154</f>
        <v>0</v>
      </c>
      <c r="L154" s="198">
        <f>(('Heating Days Data'!N35/SUM('Heating Days Data'!N$23:N$37))*L$141)/$B154</f>
        <v>0</v>
      </c>
      <c r="M154" s="198">
        <f>(('Heating Days Data'!O35/SUM('Heating Days Data'!O$23:O$37))*M$141)/$B154</f>
        <v>0</v>
      </c>
      <c r="N154" s="198">
        <f>(('Heating Days Data'!P35/SUM('Heating Days Data'!P$23:P$37))*N$141)/$B154</f>
        <v>0</v>
      </c>
      <c r="O154" s="77"/>
    </row>
    <row r="155">
      <c r="A155" s="100" t="s">
        <v>220</v>
      </c>
      <c r="B155" s="202">
        <v>3.36</v>
      </c>
      <c r="C155" s="198">
        <f>(('Heating Days Data'!E36/SUM('Heating Days Data'!E$23:E$37))*C$141)/$B155</f>
        <v>38.10263593</v>
      </c>
      <c r="D155" s="198">
        <f>(('Heating Days Data'!F36/SUM('Heating Days Data'!F$23:F$37))*D$141)/$B155</f>
        <v>0</v>
      </c>
      <c r="E155" s="198">
        <f>(('Heating Days Data'!G36/SUM('Heating Days Data'!G$23:G$37))*E$141)/$B155</f>
        <v>0</v>
      </c>
      <c r="F155" s="198">
        <f>(('Heating Days Data'!H36/SUM('Heating Days Data'!H$23:H$37))*F$141)/$B155</f>
        <v>0</v>
      </c>
      <c r="G155" s="198">
        <f>(('Heating Days Data'!I36/SUM('Heating Days Data'!I$23:I$37))*G$141)/$B155</f>
        <v>0</v>
      </c>
      <c r="H155" s="198">
        <f>(('Heating Days Data'!J36/SUM('Heating Days Data'!J$23:J$37))*H$141)/$B155</f>
        <v>0</v>
      </c>
      <c r="I155" s="198">
        <f>(('Heating Days Data'!K36/SUM('Heating Days Data'!K$23:K$37))*I$141)/$B155</f>
        <v>0</v>
      </c>
      <c r="J155" s="198">
        <f>(('Heating Days Data'!L36/SUM('Heating Days Data'!L$23:L$37))*J$141)/$B155</f>
        <v>0</v>
      </c>
      <c r="K155" s="198">
        <f>(('Heating Days Data'!M36/SUM('Heating Days Data'!M$23:M$37))*K$141)/$B155</f>
        <v>0</v>
      </c>
      <c r="L155" s="198">
        <f>(('Heating Days Data'!N36/SUM('Heating Days Data'!N$23:N$37))*L$141)/$B155</f>
        <v>0</v>
      </c>
      <c r="M155" s="198">
        <f>(('Heating Days Data'!O36/SUM('Heating Days Data'!O$23:O$37))*M$141)/$B155</f>
        <v>0</v>
      </c>
      <c r="N155" s="198">
        <f>(('Heating Days Data'!P36/SUM('Heating Days Data'!P$23:P$37))*N$141)/$B155</f>
        <v>0</v>
      </c>
      <c r="O155" s="77"/>
    </row>
    <row r="156">
      <c r="A156" s="100" t="s">
        <v>310</v>
      </c>
      <c r="B156" s="202">
        <v>3.36</v>
      </c>
      <c r="C156" s="198">
        <f>(('Heating Days Data'!E37/SUM('Heating Days Data'!E$23:E$37))*C$141)/$B156</f>
        <v>12.03241135</v>
      </c>
      <c r="D156" s="198">
        <f>(('Heating Days Data'!F37/SUM('Heating Days Data'!F$23:F$37))*D$141)/$B156</f>
        <v>0</v>
      </c>
      <c r="E156" s="198">
        <f>(('Heating Days Data'!G37/SUM('Heating Days Data'!G$23:G$37))*E$141)/$B156</f>
        <v>0</v>
      </c>
      <c r="F156" s="198">
        <f>(('Heating Days Data'!H37/SUM('Heating Days Data'!H$23:H$37))*F$141)/$B156</f>
        <v>0</v>
      </c>
      <c r="G156" s="198">
        <f>(('Heating Days Data'!I37/SUM('Heating Days Data'!I$23:I$37))*G$141)/$B156</f>
        <v>0</v>
      </c>
      <c r="H156" s="198">
        <f>(('Heating Days Data'!J37/SUM('Heating Days Data'!J$23:J$37))*H$141)/$B156</f>
        <v>0</v>
      </c>
      <c r="I156" s="198">
        <f>(('Heating Days Data'!K37/SUM('Heating Days Data'!K$23:K$37))*I$141)/$B156</f>
        <v>0</v>
      </c>
      <c r="J156" s="198">
        <f>(('Heating Days Data'!L37/SUM('Heating Days Data'!L$23:L$37))*J$141)/$B156</f>
        <v>0</v>
      </c>
      <c r="K156" s="198">
        <f>(('Heating Days Data'!M37/SUM('Heating Days Data'!M$23:M$37))*K$141)/$B156</f>
        <v>0</v>
      </c>
      <c r="L156" s="198">
        <f>(('Heating Days Data'!N37/SUM('Heating Days Data'!N$23:N$37))*L$141)/$B156</f>
        <v>0</v>
      </c>
      <c r="M156" s="198">
        <f>(('Heating Days Data'!O37/SUM('Heating Days Data'!O$23:O$37))*M$141)/$B156</f>
        <v>0</v>
      </c>
      <c r="N156" s="198">
        <f>(('Heating Days Data'!P37/SUM('Heating Days Data'!P$23:P$37))*N$141)/$B156</f>
        <v>0</v>
      </c>
      <c r="O156" s="77"/>
    </row>
    <row r="157">
      <c r="A157" s="77" t="s">
        <v>311</v>
      </c>
      <c r="B157" s="78"/>
      <c r="C157" s="198">
        <f t="shared" ref="C157:N157" si="53">SUM(C142:C156)</f>
        <v>1358.985565</v>
      </c>
      <c r="D157" s="198">
        <f t="shared" si="53"/>
        <v>1363.287854</v>
      </c>
      <c r="E157" s="198">
        <f t="shared" si="53"/>
        <v>1062.35603</v>
      </c>
      <c r="F157" s="198">
        <f t="shared" si="53"/>
        <v>1224.752138</v>
      </c>
      <c r="G157" s="198">
        <f t="shared" si="53"/>
        <v>543.5293073</v>
      </c>
      <c r="H157" s="198">
        <f t="shared" si="53"/>
        <v>376.7613755</v>
      </c>
      <c r="I157" s="198">
        <f t="shared" si="53"/>
        <v>199.1998605</v>
      </c>
      <c r="J157" s="198">
        <f t="shared" si="53"/>
        <v>174.2043779</v>
      </c>
      <c r="K157" s="198">
        <f t="shared" si="53"/>
        <v>253.2794411</v>
      </c>
      <c r="L157" s="198">
        <f t="shared" si="53"/>
        <v>358.127216</v>
      </c>
      <c r="M157" s="198">
        <f t="shared" si="53"/>
        <v>484.4809401</v>
      </c>
      <c r="N157" s="198">
        <f t="shared" si="53"/>
        <v>936.8562726</v>
      </c>
      <c r="O157" s="198"/>
      <c r="P157" s="77"/>
    </row>
    <row r="158">
      <c r="A158" s="80" t="s">
        <v>312</v>
      </c>
      <c r="C158" s="204">
        <f t="shared" ref="C158:N158" si="54">C157*100</f>
        <v>135898.5565</v>
      </c>
      <c r="D158" s="204">
        <f t="shared" si="54"/>
        <v>136328.7854</v>
      </c>
      <c r="E158" s="204">
        <f t="shared" si="54"/>
        <v>106235.603</v>
      </c>
      <c r="F158" s="204">
        <f t="shared" si="54"/>
        <v>122475.2138</v>
      </c>
      <c r="G158" s="204">
        <f t="shared" si="54"/>
        <v>54352.93073</v>
      </c>
      <c r="H158" s="204">
        <f t="shared" si="54"/>
        <v>37676.13755</v>
      </c>
      <c r="I158" s="204">
        <f t="shared" si="54"/>
        <v>19919.98605</v>
      </c>
      <c r="J158" s="204">
        <f t="shared" si="54"/>
        <v>17420.43779</v>
      </c>
      <c r="K158" s="204">
        <f t="shared" si="54"/>
        <v>25327.94411</v>
      </c>
      <c r="L158" s="204">
        <f t="shared" si="54"/>
        <v>35812.7216</v>
      </c>
      <c r="M158" s="204">
        <f t="shared" si="54"/>
        <v>48448.09401</v>
      </c>
      <c r="N158" s="204">
        <f t="shared" si="54"/>
        <v>93685.62726</v>
      </c>
      <c r="O158" s="204"/>
    </row>
    <row r="159">
      <c r="A159" s="5" t="s">
        <v>313</v>
      </c>
      <c r="C159" s="205">
        <v>57661.9</v>
      </c>
      <c r="D159" s="205">
        <v>58049.9</v>
      </c>
      <c r="E159" s="205">
        <v>45718.4</v>
      </c>
      <c r="F159" s="205">
        <v>55564.6</v>
      </c>
      <c r="G159" s="205">
        <v>22542.5</v>
      </c>
      <c r="H159" s="205">
        <v>14827.3</v>
      </c>
      <c r="I159" s="205">
        <v>5728.6</v>
      </c>
      <c r="J159" s="205">
        <v>3768.2</v>
      </c>
      <c r="K159" s="205">
        <v>8487.8</v>
      </c>
      <c r="L159" s="205">
        <v>13412.8</v>
      </c>
      <c r="M159" s="205">
        <v>18451.8</v>
      </c>
      <c r="N159" s="205">
        <v>39758.4</v>
      </c>
      <c r="O159" s="77"/>
    </row>
    <row r="161">
      <c r="C161" s="204"/>
    </row>
    <row r="162">
      <c r="A162" s="206"/>
      <c r="B162" s="207"/>
      <c r="C162" s="204"/>
    </row>
    <row r="163">
      <c r="A163" s="206"/>
      <c r="B163" s="208"/>
      <c r="C163" s="204"/>
    </row>
    <row r="164">
      <c r="A164" s="206"/>
      <c r="B164" s="208"/>
      <c r="C164" s="204"/>
    </row>
    <row r="165">
      <c r="A165" s="206"/>
      <c r="B165" s="208"/>
      <c r="C165" s="204"/>
    </row>
    <row r="166">
      <c r="A166" s="206"/>
      <c r="B166" s="208"/>
      <c r="C166" s="204"/>
    </row>
    <row r="167">
      <c r="A167" s="206"/>
      <c r="B167" s="208"/>
      <c r="C167" s="204"/>
    </row>
    <row r="168">
      <c r="A168" s="206"/>
      <c r="B168" s="208"/>
      <c r="C168" s="204"/>
    </row>
    <row r="169">
      <c r="A169" s="206"/>
      <c r="B169" s="208"/>
      <c r="C169" s="204"/>
    </row>
    <row r="170">
      <c r="A170" s="206"/>
      <c r="B170" s="208"/>
      <c r="C170" s="204"/>
    </row>
    <row r="171">
      <c r="A171" s="206"/>
      <c r="B171" s="208"/>
      <c r="C171" s="204"/>
    </row>
    <row r="172">
      <c r="A172" s="206"/>
      <c r="B172" s="207"/>
      <c r="C172" s="204"/>
    </row>
    <row r="173">
      <c r="A173" s="206"/>
      <c r="B173" s="208"/>
    </row>
    <row r="174">
      <c r="A174" s="206"/>
      <c r="B174" s="208"/>
    </row>
    <row r="175">
      <c r="A175" s="206"/>
      <c r="B175" s="208"/>
    </row>
    <row r="176">
      <c r="A176" s="206"/>
      <c r="B176" s="208"/>
    </row>
    <row r="177">
      <c r="A177" s="206"/>
      <c r="B177" s="208"/>
    </row>
    <row r="178">
      <c r="A178" s="209"/>
      <c r="B178" s="208"/>
    </row>
    <row r="179">
      <c r="A179" s="209"/>
      <c r="B179" s="208"/>
    </row>
    <row r="180">
      <c r="A180" s="206"/>
      <c r="B180" s="208"/>
    </row>
    <row r="181">
      <c r="A181" s="206"/>
      <c r="B181" s="208"/>
    </row>
    <row r="182">
      <c r="A182" s="206"/>
      <c r="B182" s="208"/>
    </row>
  </sheetData>
  <mergeCells count="1">
    <mergeCell ref="D123:O123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3.88"/>
  </cols>
  <sheetData>
    <row r="1">
      <c r="A1" s="5" t="s">
        <v>314</v>
      </c>
    </row>
    <row r="2">
      <c r="A2" s="5" t="s">
        <v>240</v>
      </c>
      <c r="B2" s="72" t="s">
        <v>315</v>
      </c>
    </row>
    <row r="3">
      <c r="A3" s="5" t="s">
        <v>316</v>
      </c>
      <c r="B3" s="72" t="s">
        <v>317</v>
      </c>
    </row>
    <row r="4">
      <c r="A4" s="5" t="s">
        <v>318</v>
      </c>
      <c r="B4" s="72" t="s">
        <v>319</v>
      </c>
    </row>
    <row r="5">
      <c r="A5" s="5" t="s">
        <v>320</v>
      </c>
      <c r="B5" s="72" t="s">
        <v>321</v>
      </c>
    </row>
    <row r="6">
      <c r="A6" s="5" t="s">
        <v>322</v>
      </c>
      <c r="B6" s="72" t="s">
        <v>323</v>
      </c>
    </row>
    <row r="7">
      <c r="A7" s="80" t="s">
        <v>324</v>
      </c>
      <c r="B7" s="72" t="s">
        <v>325</v>
      </c>
    </row>
    <row r="16">
      <c r="A16" s="210"/>
    </row>
    <row r="20">
      <c r="B20" s="211"/>
    </row>
  </sheetData>
  <hyperlinks>
    <hyperlink r:id="rId1" ref="B2"/>
    <hyperlink r:id="rId2" ref="B3"/>
    <hyperlink r:id="rId3" ref="B4"/>
    <hyperlink r:id="rId4" ref="B5"/>
    <hyperlink r:id="rId5" ref="B6"/>
    <hyperlink r:id="rId6" ref="B7"/>
  </hyperlin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75"/>
    <col customWidth="1" min="2" max="2" width="9.38"/>
    <col customWidth="1" min="3" max="3" width="13.13"/>
    <col customWidth="1" min="4" max="4" width="21.38"/>
    <col customWidth="1" min="5" max="5" width="16.25"/>
    <col customWidth="1" min="6" max="6" width="17.0"/>
    <col customWidth="1" min="7" max="7" width="16.25"/>
    <col customWidth="1" min="8" max="8" width="12.25"/>
    <col customWidth="1" min="9" max="10" width="7.13"/>
    <col customWidth="1" min="11" max="11" width="14.0"/>
    <col customWidth="1" min="12" max="12" width="10.25"/>
    <col customWidth="1" min="13" max="13" width="11.25"/>
    <col customWidth="1" min="14" max="14" width="7.63"/>
    <col customWidth="1" min="15" max="15" width="15.0"/>
    <col customWidth="1" min="16" max="16" width="13.13"/>
    <col customWidth="1" min="17" max="17" width="14.0"/>
    <col customWidth="1" min="18" max="18" width="13.13"/>
    <col customWidth="1" min="19" max="26" width="7.63"/>
  </cols>
  <sheetData>
    <row r="1">
      <c r="A1" s="16" t="s">
        <v>57</v>
      </c>
      <c r="B1" s="17"/>
      <c r="C1" s="16" t="s">
        <v>58</v>
      </c>
      <c r="D1" s="16" t="s">
        <v>58</v>
      </c>
      <c r="E1" s="16" t="s">
        <v>59</v>
      </c>
      <c r="F1" s="16"/>
      <c r="G1" s="16" t="s">
        <v>60</v>
      </c>
      <c r="H1" s="16" t="s">
        <v>61</v>
      </c>
      <c r="I1" s="16" t="s">
        <v>62</v>
      </c>
      <c r="J1" s="16" t="s">
        <v>63</v>
      </c>
      <c r="K1" s="16" t="s">
        <v>64</v>
      </c>
      <c r="L1" s="16" t="s">
        <v>65</v>
      </c>
      <c r="M1" s="18" t="s">
        <v>66</v>
      </c>
      <c r="N1" s="19"/>
      <c r="O1" s="20" t="s">
        <v>67</v>
      </c>
      <c r="P1" s="21"/>
      <c r="Q1" s="22" t="s">
        <v>68</v>
      </c>
      <c r="R1" s="21"/>
      <c r="S1" s="19"/>
      <c r="T1" s="19"/>
      <c r="U1" s="19"/>
      <c r="V1" s="19"/>
      <c r="W1" s="19"/>
      <c r="X1" s="19"/>
    </row>
    <row r="2">
      <c r="A2" s="23" t="s">
        <v>48</v>
      </c>
      <c r="B2" s="23" t="s">
        <v>69</v>
      </c>
      <c r="C2" s="23" t="s">
        <v>70</v>
      </c>
      <c r="D2" s="23">
        <v>14.0</v>
      </c>
      <c r="E2" s="23" t="s">
        <v>70</v>
      </c>
      <c r="F2" s="23" t="s">
        <v>71</v>
      </c>
      <c r="G2" s="23" t="s">
        <v>72</v>
      </c>
      <c r="H2" s="23" t="s">
        <v>73</v>
      </c>
      <c r="I2" s="23" t="s">
        <v>74</v>
      </c>
      <c r="J2" s="23" t="s">
        <v>74</v>
      </c>
      <c r="K2" s="23" t="s">
        <v>75</v>
      </c>
      <c r="L2" s="23" t="s">
        <v>75</v>
      </c>
      <c r="M2" s="24" t="s">
        <v>73</v>
      </c>
      <c r="N2" s="19"/>
      <c r="O2" s="25" t="s">
        <v>76</v>
      </c>
      <c r="P2" s="26" t="s">
        <v>77</v>
      </c>
      <c r="Q2" s="26" t="s">
        <v>76</v>
      </c>
      <c r="R2" s="26" t="s">
        <v>77</v>
      </c>
      <c r="S2" s="19"/>
      <c r="T2" s="19"/>
      <c r="U2" s="19"/>
      <c r="V2" s="19"/>
      <c r="W2" s="19"/>
      <c r="X2" s="19"/>
    </row>
    <row r="3">
      <c r="A3" s="27">
        <v>43112.0</v>
      </c>
      <c r="B3" s="28">
        <v>30.0</v>
      </c>
      <c r="C3" s="29">
        <v>286267.0</v>
      </c>
      <c r="D3" s="30">
        <v>1227.64</v>
      </c>
      <c r="E3" s="29">
        <v>361401.0</v>
      </c>
      <c r="F3" s="30">
        <f t="shared" ref="F3:F15" si="1">C3+E3</f>
        <v>647668</v>
      </c>
      <c r="G3" s="29">
        <v>354200.0</v>
      </c>
      <c r="H3" s="29">
        <v>647668.0</v>
      </c>
      <c r="I3" s="31">
        <v>0.877</v>
      </c>
      <c r="J3" s="28">
        <v>0.733</v>
      </c>
      <c r="K3" s="32">
        <v>55235.92</v>
      </c>
      <c r="L3" s="32">
        <v>0.0853</v>
      </c>
      <c r="M3" s="33">
        <v>21589.0</v>
      </c>
      <c r="N3" s="34"/>
      <c r="O3" s="35">
        <v>7561.4</v>
      </c>
      <c r="P3" s="36">
        <v>0.01167</v>
      </c>
      <c r="Q3" s="37">
        <v>47674.52</v>
      </c>
      <c r="R3" s="38">
        <v>0.0736</v>
      </c>
      <c r="S3" s="19"/>
      <c r="T3" s="19"/>
      <c r="U3" s="19"/>
      <c r="V3" s="19"/>
      <c r="W3" s="19"/>
      <c r="X3" s="19"/>
    </row>
    <row r="4">
      <c r="A4" s="39">
        <v>43143.0</v>
      </c>
      <c r="B4" s="31">
        <v>31.0</v>
      </c>
      <c r="C4" s="40">
        <v>321778.0</v>
      </c>
      <c r="D4" s="41">
        <v>1267.96</v>
      </c>
      <c r="E4" s="40">
        <v>377789.0</v>
      </c>
      <c r="F4" s="30">
        <f t="shared" si="1"/>
        <v>699567</v>
      </c>
      <c r="G4" s="40">
        <v>320600.0</v>
      </c>
      <c r="H4" s="40">
        <v>699567.0</v>
      </c>
      <c r="I4" s="31">
        <v>0.909</v>
      </c>
      <c r="J4" s="31">
        <v>0.742</v>
      </c>
      <c r="K4" s="42">
        <v>40354.55</v>
      </c>
      <c r="L4" s="42">
        <v>0.0577</v>
      </c>
      <c r="M4" s="43">
        <v>22567.0</v>
      </c>
      <c r="N4" s="34"/>
      <c r="O4" s="35">
        <v>6953.7</v>
      </c>
      <c r="P4" s="36">
        <v>0.00994</v>
      </c>
      <c r="Q4" s="37">
        <v>33400.85</v>
      </c>
      <c r="R4" s="38">
        <v>0.0477</v>
      </c>
      <c r="S4" s="19"/>
      <c r="T4" s="19"/>
      <c r="U4" s="19"/>
      <c r="V4" s="19"/>
      <c r="W4" s="19"/>
      <c r="X4" s="19"/>
    </row>
    <row r="5">
      <c r="A5" s="39">
        <v>43173.0</v>
      </c>
      <c r="B5" s="31">
        <v>30.0</v>
      </c>
      <c r="C5" s="40">
        <v>350622.0</v>
      </c>
      <c r="D5" s="41">
        <v>1406.56</v>
      </c>
      <c r="E5" s="40">
        <v>335696.0</v>
      </c>
      <c r="F5" s="30">
        <f t="shared" si="1"/>
        <v>686318</v>
      </c>
      <c r="G5" s="40">
        <v>337400.0</v>
      </c>
      <c r="H5" s="40">
        <v>686318.0</v>
      </c>
      <c r="I5" s="31">
        <v>0.897</v>
      </c>
      <c r="J5" s="31">
        <v>0.678</v>
      </c>
      <c r="K5" s="42">
        <v>24606.81</v>
      </c>
      <c r="L5" s="42">
        <v>0.0359</v>
      </c>
      <c r="M5" s="43">
        <v>22877.0</v>
      </c>
      <c r="N5" s="34"/>
      <c r="O5" s="35">
        <v>7388.37</v>
      </c>
      <c r="P5" s="36">
        <v>0.01077</v>
      </c>
      <c r="Q5" s="37">
        <v>17218.44</v>
      </c>
      <c r="R5" s="38">
        <v>0.0251</v>
      </c>
      <c r="S5" s="19"/>
      <c r="T5" s="19"/>
      <c r="U5" s="19"/>
      <c r="V5" s="19"/>
      <c r="W5" s="19"/>
      <c r="X5" s="19"/>
    </row>
    <row r="6">
      <c r="A6" s="39">
        <v>43202.0</v>
      </c>
      <c r="B6" s="31">
        <v>29.0</v>
      </c>
      <c r="C6" s="40">
        <v>308111.0</v>
      </c>
      <c r="D6" s="41">
        <v>1288.96</v>
      </c>
      <c r="E6" s="40">
        <v>304992.0</v>
      </c>
      <c r="F6" s="30">
        <f t="shared" si="1"/>
        <v>613103</v>
      </c>
      <c r="G6" s="40">
        <v>292600.0</v>
      </c>
      <c r="H6" s="40">
        <v>613103.0</v>
      </c>
      <c r="I6" s="31">
        <v>0.902</v>
      </c>
      <c r="J6" s="31">
        <v>0.683</v>
      </c>
      <c r="K6" s="42">
        <v>29341.36</v>
      </c>
      <c r="L6" s="42">
        <v>0.0479</v>
      </c>
      <c r="M6" s="43">
        <v>21141.0</v>
      </c>
      <c r="N6" s="34"/>
      <c r="O6" s="35">
        <v>7952.01</v>
      </c>
      <c r="P6" s="36">
        <v>0.01297</v>
      </c>
      <c r="Q6" s="37">
        <v>21389.35</v>
      </c>
      <c r="R6" s="38">
        <v>0.0349</v>
      </c>
      <c r="S6" s="19"/>
      <c r="T6" s="19"/>
      <c r="U6" s="19"/>
      <c r="V6" s="19"/>
      <c r="W6" s="19"/>
      <c r="X6" s="19"/>
    </row>
    <row r="7">
      <c r="A7" s="39">
        <v>43231.0</v>
      </c>
      <c r="B7" s="31">
        <v>29.0</v>
      </c>
      <c r="C7" s="40">
        <v>316185.0</v>
      </c>
      <c r="D7" s="41">
        <v>1571.24</v>
      </c>
      <c r="E7" s="40">
        <v>277481.0</v>
      </c>
      <c r="F7" s="30">
        <f t="shared" si="1"/>
        <v>593666</v>
      </c>
      <c r="G7" s="40">
        <v>309400.0</v>
      </c>
      <c r="H7" s="40">
        <v>593666.0</v>
      </c>
      <c r="I7" s="31">
        <v>0.887</v>
      </c>
      <c r="J7" s="31">
        <v>0.543</v>
      </c>
      <c r="K7" s="42">
        <v>40691.97</v>
      </c>
      <c r="L7" s="42">
        <v>0.0685</v>
      </c>
      <c r="M7" s="43">
        <v>20471.0</v>
      </c>
      <c r="N7" s="34"/>
      <c r="O7" s="35">
        <v>9495.54</v>
      </c>
      <c r="P7" s="36">
        <v>0.01599</v>
      </c>
      <c r="Q7" s="37">
        <v>31196.43</v>
      </c>
      <c r="R7" s="38">
        <v>0.0525</v>
      </c>
      <c r="S7" s="19"/>
      <c r="T7" s="19"/>
      <c r="U7" s="19"/>
      <c r="V7" s="19"/>
      <c r="W7" s="19"/>
      <c r="X7" s="19"/>
    </row>
    <row r="8">
      <c r="A8" s="39">
        <v>43264.0</v>
      </c>
      <c r="B8" s="31">
        <v>33.0</v>
      </c>
      <c r="C8" s="40">
        <v>326400.0</v>
      </c>
      <c r="D8" s="41">
        <v>1447.68</v>
      </c>
      <c r="E8" s="40">
        <v>335588.0</v>
      </c>
      <c r="F8" s="30">
        <f t="shared" si="1"/>
        <v>661988</v>
      </c>
      <c r="G8" s="40">
        <v>361200.0</v>
      </c>
      <c r="H8" s="40">
        <v>661988.0</v>
      </c>
      <c r="I8" s="31">
        <v>0.878</v>
      </c>
      <c r="J8" s="31">
        <v>0.577</v>
      </c>
      <c r="K8" s="42">
        <v>41284.79</v>
      </c>
      <c r="L8" s="42">
        <v>0.0624</v>
      </c>
      <c r="M8" s="43">
        <v>20060.0</v>
      </c>
      <c r="N8" s="34"/>
      <c r="O8" s="35">
        <v>13132.16</v>
      </c>
      <c r="P8" s="36">
        <v>0.01984</v>
      </c>
      <c r="Q8" s="37">
        <v>28152.63</v>
      </c>
      <c r="R8" s="38">
        <v>0.0425</v>
      </c>
      <c r="S8" s="19"/>
      <c r="T8" s="19"/>
      <c r="U8" s="19"/>
      <c r="V8" s="19"/>
      <c r="W8" s="19"/>
      <c r="X8" s="19"/>
    </row>
    <row r="9">
      <c r="A9" s="39">
        <v>43294.0</v>
      </c>
      <c r="B9" s="31">
        <v>30.0</v>
      </c>
      <c r="C9" s="40">
        <v>342316.0</v>
      </c>
      <c r="D9" s="41">
        <v>1508.6</v>
      </c>
      <c r="E9" s="40">
        <v>329997.0</v>
      </c>
      <c r="F9" s="30">
        <f t="shared" si="1"/>
        <v>672313</v>
      </c>
      <c r="G9" s="40">
        <v>438200.0</v>
      </c>
      <c r="H9" s="40">
        <v>672313.0</v>
      </c>
      <c r="I9" s="31">
        <v>0.838</v>
      </c>
      <c r="J9" s="31">
        <v>0.619</v>
      </c>
      <c r="K9" s="42">
        <v>43452.46</v>
      </c>
      <c r="L9" s="42">
        <v>0.0646</v>
      </c>
      <c r="M9" s="43">
        <v>22410.0</v>
      </c>
      <c r="N9" s="34"/>
      <c r="O9" s="35">
        <v>11271.05</v>
      </c>
      <c r="P9" s="36">
        <v>0.01676</v>
      </c>
      <c r="Q9" s="37">
        <v>32181.41</v>
      </c>
      <c r="R9" s="38">
        <v>0.0479</v>
      </c>
      <c r="S9" s="19"/>
      <c r="T9" s="19"/>
      <c r="U9" s="19"/>
      <c r="V9" s="19"/>
      <c r="W9" s="19"/>
      <c r="X9" s="19"/>
    </row>
    <row r="10">
      <c r="A10" s="39">
        <v>43326.0</v>
      </c>
      <c r="B10" s="31">
        <v>32.0</v>
      </c>
      <c r="C10" s="40">
        <v>393647.0</v>
      </c>
      <c r="D10" s="41">
        <v>1639.24</v>
      </c>
      <c r="E10" s="40">
        <v>578926.0</v>
      </c>
      <c r="F10" s="30">
        <f t="shared" si="1"/>
        <v>972573</v>
      </c>
      <c r="G10" s="40">
        <v>463400.0</v>
      </c>
      <c r="H10" s="40">
        <v>972573.0</v>
      </c>
      <c r="I10" s="31">
        <v>0.903</v>
      </c>
      <c r="J10" s="31">
        <v>0.773</v>
      </c>
      <c r="K10" s="42">
        <v>52019.76</v>
      </c>
      <c r="L10" s="42">
        <v>0.0535</v>
      </c>
      <c r="M10" s="43">
        <v>30393.0</v>
      </c>
      <c r="N10" s="34"/>
      <c r="O10" s="35">
        <v>12792.93</v>
      </c>
      <c r="P10" s="36">
        <v>0.01315</v>
      </c>
      <c r="Q10" s="37">
        <v>39226.83</v>
      </c>
      <c r="R10" s="38">
        <v>0.0403</v>
      </c>
      <c r="S10" s="19"/>
      <c r="T10" s="19"/>
      <c r="U10" s="19"/>
      <c r="V10" s="19"/>
      <c r="W10" s="19"/>
      <c r="X10" s="19"/>
    </row>
    <row r="11">
      <c r="A11" s="39">
        <v>43356.0</v>
      </c>
      <c r="B11" s="31">
        <v>30.0</v>
      </c>
      <c r="C11" s="40">
        <v>451531.0</v>
      </c>
      <c r="D11" s="44">
        <v>1992.88</v>
      </c>
      <c r="E11" s="40">
        <v>444187.0</v>
      </c>
      <c r="F11" s="30">
        <f t="shared" si="1"/>
        <v>895718</v>
      </c>
      <c r="G11" s="40">
        <v>526400.0</v>
      </c>
      <c r="H11" s="40">
        <v>895718.0</v>
      </c>
      <c r="I11" s="31">
        <v>0.862</v>
      </c>
      <c r="J11" s="31">
        <v>0.624</v>
      </c>
      <c r="K11" s="42">
        <v>57734.81</v>
      </c>
      <c r="L11" s="42">
        <v>0.0645</v>
      </c>
      <c r="M11" s="43">
        <v>29857.0</v>
      </c>
      <c r="N11" s="34"/>
      <c r="O11" s="35">
        <v>13363.78</v>
      </c>
      <c r="P11" s="36">
        <v>0.01492</v>
      </c>
      <c r="Q11" s="37">
        <v>44371.03</v>
      </c>
      <c r="R11" s="38">
        <v>0.0495</v>
      </c>
      <c r="S11" s="19"/>
      <c r="T11" s="19"/>
      <c r="U11" s="19"/>
      <c r="V11" s="19"/>
      <c r="W11" s="19"/>
      <c r="X11" s="19"/>
    </row>
    <row r="12">
      <c r="A12" s="39">
        <v>43384.0</v>
      </c>
      <c r="B12" s="31">
        <v>28.0</v>
      </c>
      <c r="C12" s="40">
        <v>388916.0</v>
      </c>
      <c r="D12" s="41">
        <v>1800.96</v>
      </c>
      <c r="E12" s="40">
        <v>375527.0</v>
      </c>
      <c r="F12" s="30">
        <f t="shared" si="1"/>
        <v>764443</v>
      </c>
      <c r="G12" s="40">
        <v>428400.0</v>
      </c>
      <c r="H12" s="40">
        <v>764443.0</v>
      </c>
      <c r="I12" s="31">
        <v>0.872</v>
      </c>
      <c r="J12" s="31">
        <v>0.632</v>
      </c>
      <c r="K12" s="42">
        <v>48511.77</v>
      </c>
      <c r="L12" s="42">
        <v>0.0635</v>
      </c>
      <c r="M12" s="43">
        <v>27302.0</v>
      </c>
      <c r="N12" s="34"/>
      <c r="O12" s="35">
        <v>11482.05</v>
      </c>
      <c r="P12" s="36">
        <v>0.01502</v>
      </c>
      <c r="Q12" s="37">
        <v>37029.72</v>
      </c>
      <c r="R12" s="38">
        <v>0.0484</v>
      </c>
      <c r="S12" s="19"/>
      <c r="T12" s="19"/>
      <c r="U12" s="19"/>
      <c r="V12" s="19"/>
      <c r="W12" s="19"/>
      <c r="X12" s="19"/>
    </row>
    <row r="13">
      <c r="A13" s="39">
        <v>43417.0</v>
      </c>
      <c r="B13" s="31">
        <v>33.0</v>
      </c>
      <c r="C13" s="40">
        <v>367209.0</v>
      </c>
      <c r="D13" s="41">
        <v>1408.64</v>
      </c>
      <c r="E13" s="40">
        <v>370877.0</v>
      </c>
      <c r="F13" s="30">
        <f t="shared" si="1"/>
        <v>738086</v>
      </c>
      <c r="G13" s="40">
        <v>366800.0</v>
      </c>
      <c r="H13" s="40">
        <v>738086.0</v>
      </c>
      <c r="I13" s="31">
        <v>0.896</v>
      </c>
      <c r="J13" s="31">
        <v>0.662</v>
      </c>
      <c r="K13" s="42">
        <v>42001.81</v>
      </c>
      <c r="L13" s="42">
        <v>0.0569</v>
      </c>
      <c r="M13" s="43">
        <v>22366.0</v>
      </c>
      <c r="N13" s="34"/>
      <c r="O13" s="35">
        <v>9094.83</v>
      </c>
      <c r="P13" s="36">
        <v>0.01232</v>
      </c>
      <c r="Q13" s="37">
        <v>32906.98</v>
      </c>
      <c r="R13" s="38">
        <v>0.0446</v>
      </c>
      <c r="S13" s="19"/>
      <c r="T13" s="19"/>
      <c r="U13" s="19"/>
      <c r="V13" s="19"/>
      <c r="W13" s="19"/>
      <c r="X13" s="19"/>
    </row>
    <row r="14">
      <c r="A14" s="39">
        <v>43447.0</v>
      </c>
      <c r="B14" s="31">
        <v>30.0</v>
      </c>
      <c r="C14" s="40">
        <v>337662.0</v>
      </c>
      <c r="D14" s="41">
        <v>1019.3</v>
      </c>
      <c r="E14" s="40">
        <v>353322.0</v>
      </c>
      <c r="F14" s="30">
        <f t="shared" si="1"/>
        <v>690984</v>
      </c>
      <c r="G14" s="40">
        <v>482454.0</v>
      </c>
      <c r="H14" s="40">
        <v>690984.0</v>
      </c>
      <c r="I14" s="31">
        <v>0.82</v>
      </c>
      <c r="J14" s="31">
        <v>0.942</v>
      </c>
      <c r="K14" s="45"/>
      <c r="L14" s="42">
        <v>0.0</v>
      </c>
      <c r="M14" s="43">
        <v>23033.0</v>
      </c>
      <c r="N14" s="34"/>
      <c r="O14" s="35">
        <v>7520.1</v>
      </c>
      <c r="P14" s="36">
        <v>0.01088</v>
      </c>
      <c r="Q14" s="37">
        <v>32021.06</v>
      </c>
      <c r="R14" s="38">
        <v>0.0463</v>
      </c>
      <c r="S14" s="19"/>
      <c r="T14" s="19"/>
      <c r="U14" s="19"/>
      <c r="V14" s="19"/>
      <c r="W14" s="19"/>
      <c r="X14" s="19"/>
    </row>
    <row r="15">
      <c r="A15" s="46" t="s">
        <v>78</v>
      </c>
      <c r="B15" s="46">
        <v>365.0</v>
      </c>
      <c r="C15" s="47">
        <v>4190644.0</v>
      </c>
      <c r="D15" s="48">
        <v>1992.88</v>
      </c>
      <c r="E15" s="47">
        <v>4445783.0</v>
      </c>
      <c r="F15" s="30">
        <f t="shared" si="1"/>
        <v>8636427</v>
      </c>
      <c r="G15" s="47">
        <v>4681054.0</v>
      </c>
      <c r="H15" s="47">
        <v>8636427.0</v>
      </c>
      <c r="I15" s="49">
        <v>0.879</v>
      </c>
      <c r="J15" s="50">
        <v>0.495</v>
      </c>
      <c r="K15" s="51">
        <v>475236.01</v>
      </c>
      <c r="L15" s="51">
        <v>0.055</v>
      </c>
      <c r="M15" s="52">
        <v>23661.0</v>
      </c>
      <c r="N15" s="34"/>
      <c r="O15" s="53">
        <v>118008.0</v>
      </c>
      <c r="P15" s="54">
        <v>0.01366</v>
      </c>
      <c r="Q15" s="55">
        <v>396769.0</v>
      </c>
      <c r="R15" s="56">
        <v>0.0459</v>
      </c>
      <c r="S15" s="19"/>
      <c r="T15" s="19"/>
      <c r="U15" s="19"/>
      <c r="V15" s="19"/>
      <c r="W15" s="19"/>
      <c r="X15" s="19"/>
    </row>
    <row r="18">
      <c r="A18" s="57" t="s">
        <v>3</v>
      </c>
      <c r="B18" s="58" t="s">
        <v>79</v>
      </c>
      <c r="C18" s="5" t="s">
        <v>80</v>
      </c>
      <c r="D18" s="5" t="s">
        <v>81</v>
      </c>
      <c r="E18" s="5" t="s">
        <v>82</v>
      </c>
      <c r="F18" s="5" t="s">
        <v>83</v>
      </c>
      <c r="G18" s="5" t="s">
        <v>84</v>
      </c>
      <c r="H18" s="5" t="s">
        <v>85</v>
      </c>
      <c r="I18" s="5" t="s">
        <v>86</v>
      </c>
    </row>
    <row r="19">
      <c r="A19" s="59" t="s">
        <v>9</v>
      </c>
      <c r="B19" s="60">
        <v>83244.0</v>
      </c>
      <c r="C19" s="61">
        <f t="shared" ref="C19:C33" si="2">B19/B$34</f>
        <v>0.1339542608</v>
      </c>
      <c r="D19" s="1">
        <f t="shared" ref="D19:D33" si="3">F$15*C19</f>
        <v>1156886.195</v>
      </c>
      <c r="E19" s="1">
        <f t="shared" ref="E19:E34" si="4">D19*3412</f>
        <v>3947295696</v>
      </c>
      <c r="F19" s="5">
        <v>1984.0</v>
      </c>
      <c r="G19" s="5">
        <v>1.25</v>
      </c>
      <c r="H19" s="5">
        <v>0.7</v>
      </c>
    </row>
    <row r="20">
      <c r="A20" s="59" t="s">
        <v>87</v>
      </c>
      <c r="B20" s="60">
        <v>4863.0</v>
      </c>
      <c r="C20" s="61">
        <f t="shared" si="2"/>
        <v>0.007825423696</v>
      </c>
      <c r="D20" s="1">
        <f t="shared" si="3"/>
        <v>67583.7005</v>
      </c>
      <c r="E20" s="1">
        <f t="shared" si="4"/>
        <v>230595586.1</v>
      </c>
      <c r="H20" s="5">
        <v>0.7</v>
      </c>
    </row>
    <row r="21" ht="15.75" customHeight="1">
      <c r="A21" s="59" t="s">
        <v>10</v>
      </c>
      <c r="B21" s="60">
        <v>50996.0</v>
      </c>
      <c r="C21" s="61">
        <f t="shared" si="2"/>
        <v>0.08206154777</v>
      </c>
      <c r="D21" s="1">
        <f t="shared" si="3"/>
        <v>708718.5668</v>
      </c>
      <c r="E21" s="1">
        <f t="shared" si="4"/>
        <v>2418147750</v>
      </c>
      <c r="F21" s="5">
        <v>1971.0</v>
      </c>
      <c r="H21" s="5">
        <v>0.7</v>
      </c>
    </row>
    <row r="22" ht="15.75" customHeight="1">
      <c r="A22" s="59" t="s">
        <v>88</v>
      </c>
      <c r="B22" s="60">
        <v>36837.0</v>
      </c>
      <c r="C22" s="61">
        <f t="shared" si="2"/>
        <v>0.05927722243</v>
      </c>
      <c r="D22" s="1">
        <f t="shared" si="3"/>
        <v>511943.4043</v>
      </c>
      <c r="E22" s="1">
        <f t="shared" si="4"/>
        <v>1746750895</v>
      </c>
      <c r="F22" s="5">
        <v>2019.0</v>
      </c>
      <c r="G22" s="5">
        <v>0.7</v>
      </c>
      <c r="H22" s="5">
        <v>4.5</v>
      </c>
    </row>
    <row r="23" ht="15.75" customHeight="1">
      <c r="A23" s="59" t="s">
        <v>89</v>
      </c>
      <c r="B23" s="60">
        <v>23659.0</v>
      </c>
      <c r="C23" s="61">
        <f t="shared" si="2"/>
        <v>0.03807149892</v>
      </c>
      <c r="D23" s="1">
        <f t="shared" si="3"/>
        <v>328801.7212</v>
      </c>
      <c r="E23" s="1">
        <f t="shared" si="4"/>
        <v>1121871473</v>
      </c>
      <c r="F23" s="5">
        <v>1992.0</v>
      </c>
      <c r="H23" s="5">
        <v>0.7</v>
      </c>
    </row>
    <row r="24" ht="15.75" customHeight="1">
      <c r="A24" s="59" t="s">
        <v>90</v>
      </c>
      <c r="B24" s="60">
        <v>70635.0</v>
      </c>
      <c r="C24" s="61">
        <f t="shared" si="2"/>
        <v>0.1136641585</v>
      </c>
      <c r="D24" s="1">
        <f t="shared" si="3"/>
        <v>981652.2074</v>
      </c>
      <c r="E24" s="1">
        <f t="shared" si="4"/>
        <v>3349397332</v>
      </c>
      <c r="F24" s="5">
        <v>1998.0</v>
      </c>
      <c r="H24" s="5">
        <v>0.7</v>
      </c>
    </row>
    <row r="25" ht="15.75" customHeight="1">
      <c r="A25" s="59" t="s">
        <v>91</v>
      </c>
      <c r="B25" s="60">
        <v>58793.0</v>
      </c>
      <c r="C25" s="61">
        <f t="shared" si="2"/>
        <v>0.09460829434</v>
      </c>
      <c r="D25" s="1">
        <f t="shared" si="3"/>
        <v>817077.6276</v>
      </c>
      <c r="E25" s="1">
        <f t="shared" si="4"/>
        <v>2787868866</v>
      </c>
      <c r="H25" s="5">
        <v>0.7</v>
      </c>
    </row>
    <row r="26" ht="15.75" customHeight="1">
      <c r="A26" s="59" t="s">
        <v>92</v>
      </c>
      <c r="B26" s="60">
        <v>49194.0</v>
      </c>
      <c r="C26" s="61">
        <f t="shared" si="2"/>
        <v>0.07916181232</v>
      </c>
      <c r="D26" s="1">
        <f t="shared" si="3"/>
        <v>683675.2133</v>
      </c>
      <c r="E26" s="1">
        <f t="shared" si="4"/>
        <v>2332699828</v>
      </c>
      <c r="F26" s="5">
        <v>1968.0</v>
      </c>
      <c r="H26" s="5">
        <v>0.7</v>
      </c>
    </row>
    <row r="27" ht="15.75" customHeight="1">
      <c r="A27" s="59" t="s">
        <v>93</v>
      </c>
      <c r="B27" s="62">
        <v>36000.0</v>
      </c>
      <c r="C27" s="61">
        <f t="shared" si="2"/>
        <v>0.05793034198</v>
      </c>
      <c r="D27" s="1">
        <f t="shared" si="3"/>
        <v>500311.1696</v>
      </c>
      <c r="E27" s="1">
        <f t="shared" si="4"/>
        <v>1707061711</v>
      </c>
      <c r="F27" s="5">
        <v>2013.0</v>
      </c>
      <c r="H27" s="5">
        <v>0.7</v>
      </c>
    </row>
    <row r="28" ht="15.75" customHeight="1">
      <c r="A28" s="59" t="s">
        <v>94</v>
      </c>
      <c r="B28" s="60">
        <v>35925.0</v>
      </c>
      <c r="C28" s="61">
        <f t="shared" si="2"/>
        <v>0.05780965377</v>
      </c>
      <c r="D28" s="1">
        <f t="shared" si="3"/>
        <v>499268.8547</v>
      </c>
      <c r="E28" s="1">
        <f t="shared" si="4"/>
        <v>1703505332</v>
      </c>
      <c r="H28" s="5">
        <v>0.7</v>
      </c>
    </row>
    <row r="29" ht="15.75" customHeight="1">
      <c r="A29" s="59" t="s">
        <v>95</v>
      </c>
      <c r="B29" s="60">
        <v>10314.0</v>
      </c>
      <c r="C29" s="61">
        <f t="shared" si="2"/>
        <v>0.01659704298</v>
      </c>
      <c r="D29" s="1">
        <f t="shared" si="3"/>
        <v>143339.1501</v>
      </c>
      <c r="E29" s="1">
        <f t="shared" si="4"/>
        <v>489073180.1</v>
      </c>
      <c r="H29" s="5">
        <v>0.7</v>
      </c>
    </row>
    <row r="30" ht="15.75" customHeight="1">
      <c r="A30" s="59" t="s">
        <v>96</v>
      </c>
      <c r="B30" s="60">
        <v>73221.0</v>
      </c>
      <c r="C30" s="61">
        <f t="shared" si="2"/>
        <v>0.1178254881</v>
      </c>
      <c r="D30" s="1">
        <f t="shared" si="3"/>
        <v>1017591.226</v>
      </c>
      <c r="E30" s="1">
        <f t="shared" si="4"/>
        <v>3472021264</v>
      </c>
      <c r="H30" s="5">
        <v>0.7</v>
      </c>
    </row>
    <row r="31" ht="15.75" customHeight="1">
      <c r="A31" s="59" t="s">
        <v>97</v>
      </c>
      <c r="B31" s="60">
        <v>20140.0</v>
      </c>
      <c r="C31" s="61">
        <f t="shared" si="2"/>
        <v>0.03240880799</v>
      </c>
      <c r="D31" s="1">
        <f t="shared" si="3"/>
        <v>279896.3043</v>
      </c>
      <c r="E31" s="1">
        <f t="shared" si="4"/>
        <v>955006190.4</v>
      </c>
      <c r="H31" s="5">
        <v>0.7</v>
      </c>
    </row>
    <row r="32" ht="15.75" customHeight="1">
      <c r="A32" s="59" t="s">
        <v>98</v>
      </c>
      <c r="B32" s="60">
        <v>44926.0</v>
      </c>
      <c r="C32" s="61">
        <f t="shared" si="2"/>
        <v>0.07229384844</v>
      </c>
      <c r="D32" s="1">
        <f t="shared" si="3"/>
        <v>624360.5446</v>
      </c>
      <c r="E32" s="1">
        <f t="shared" si="4"/>
        <v>2130318178</v>
      </c>
      <c r="H32" s="5">
        <v>0.7</v>
      </c>
    </row>
    <row r="33" ht="15.75" customHeight="1">
      <c r="A33" s="63" t="s">
        <v>99</v>
      </c>
      <c r="B33" s="64">
        <v>22689.0</v>
      </c>
      <c r="C33" s="61">
        <f t="shared" si="2"/>
        <v>0.03651059803</v>
      </c>
      <c r="D33" s="1">
        <f t="shared" si="3"/>
        <v>315321.1146</v>
      </c>
      <c r="E33" s="1">
        <f t="shared" si="4"/>
        <v>1075875643</v>
      </c>
      <c r="F33" s="5">
        <v>2014.0</v>
      </c>
      <c r="H33" s="5">
        <v>0.7</v>
      </c>
    </row>
    <row r="34" ht="15.75" customHeight="1">
      <c r="B34" s="65">
        <f>SUM(B19:B33)</f>
        <v>621436</v>
      </c>
      <c r="D34" s="66">
        <f>SUM(D19:D33)</f>
        <v>8636427</v>
      </c>
      <c r="E34" s="1">
        <f t="shared" si="4"/>
        <v>29467488924</v>
      </c>
    </row>
    <row r="35" ht="15.75" customHeight="1"/>
    <row r="36" ht="15.75" customHeight="1">
      <c r="A36" s="67" t="s">
        <v>100</v>
      </c>
      <c r="B36" s="5" t="s">
        <v>101</v>
      </c>
      <c r="C36" s="5" t="s">
        <v>102</v>
      </c>
      <c r="D36" s="5" t="s">
        <v>103</v>
      </c>
      <c r="E36" s="5" t="s">
        <v>104</v>
      </c>
      <c r="F36" s="5" t="s">
        <v>105</v>
      </c>
      <c r="G36" s="5" t="s">
        <v>106</v>
      </c>
      <c r="H36" s="5" t="s">
        <v>107</v>
      </c>
      <c r="I36" s="5" t="s">
        <v>108</v>
      </c>
      <c r="J36" s="5" t="s">
        <v>109</v>
      </c>
      <c r="K36" s="5" t="s">
        <v>110</v>
      </c>
      <c r="L36" s="5" t="s">
        <v>111</v>
      </c>
      <c r="M36" s="5" t="s">
        <v>112</v>
      </c>
      <c r="N36" s="5" t="s">
        <v>13</v>
      </c>
    </row>
    <row r="37" ht="15.75" customHeight="1">
      <c r="A37" s="5" t="s">
        <v>113</v>
      </c>
      <c r="B37" s="68">
        <v>0.08</v>
      </c>
      <c r="C37" s="5">
        <v>0.0</v>
      </c>
      <c r="D37" s="5">
        <v>0.1</v>
      </c>
      <c r="E37" s="5">
        <v>0.88</v>
      </c>
      <c r="F37" s="5">
        <v>3.26</v>
      </c>
      <c r="G37" s="5">
        <v>5.6</v>
      </c>
      <c r="H37" s="5">
        <v>9.05</v>
      </c>
      <c r="I37" s="5">
        <v>13.14</v>
      </c>
      <c r="J37" s="5">
        <v>5.05</v>
      </c>
      <c r="K37" s="5">
        <v>1.19</v>
      </c>
      <c r="L37" s="5">
        <v>0.02</v>
      </c>
      <c r="M37" s="5">
        <v>0.0</v>
      </c>
      <c r="N37" s="66">
        <f>SUM(B37:M37)</f>
        <v>38.37</v>
      </c>
    </row>
    <row r="38" ht="15.75" customHeight="1">
      <c r="A38" s="5" t="s">
        <v>114</v>
      </c>
    </row>
    <row r="39" ht="15.75" customHeight="1">
      <c r="A39" s="5" t="s">
        <v>115</v>
      </c>
    </row>
    <row r="40" ht="15.75" customHeight="1">
      <c r="A40" s="5" t="s">
        <v>116</v>
      </c>
      <c r="B40" s="5">
        <v>18.89</v>
      </c>
      <c r="C40" s="5">
        <v>21.81</v>
      </c>
      <c r="D40" s="5">
        <v>8.63</v>
      </c>
      <c r="E40" s="5">
        <v>6.6</v>
      </c>
      <c r="F40" s="5">
        <v>0.8</v>
      </c>
      <c r="G40" s="5">
        <v>0.02</v>
      </c>
      <c r="H40" s="5">
        <v>0.01</v>
      </c>
      <c r="I40" s="5">
        <v>0.01</v>
      </c>
      <c r="J40" s="5">
        <v>0.02</v>
      </c>
      <c r="K40" s="5">
        <v>2.6</v>
      </c>
      <c r="L40" s="5">
        <v>11.18</v>
      </c>
      <c r="M40" s="5">
        <v>8.46</v>
      </c>
      <c r="N40" s="1">
        <f t="shared" ref="N40:N50" si="5">SUM(B40:M40)</f>
        <v>79.03</v>
      </c>
    </row>
    <row r="41" ht="15.75" customHeight="1">
      <c r="A41" s="5" t="s">
        <v>117</v>
      </c>
      <c r="N41" s="1">
        <f t="shared" si="5"/>
        <v>0</v>
      </c>
    </row>
    <row r="42" ht="15.75" customHeight="1">
      <c r="A42" s="5" t="s">
        <v>118</v>
      </c>
      <c r="N42" s="1">
        <f t="shared" si="5"/>
        <v>0</v>
      </c>
    </row>
    <row r="43" ht="15.75" customHeight="1">
      <c r="A43" s="5" t="s">
        <v>119</v>
      </c>
      <c r="B43" s="5">
        <v>1.55</v>
      </c>
      <c r="C43" s="5">
        <v>1.84</v>
      </c>
      <c r="D43" s="5">
        <v>1.55</v>
      </c>
      <c r="E43" s="5">
        <v>1.85</v>
      </c>
      <c r="F43" s="5">
        <v>1.94</v>
      </c>
      <c r="G43" s="5">
        <v>0.97</v>
      </c>
      <c r="H43" s="5">
        <v>1.18</v>
      </c>
      <c r="I43" s="5">
        <v>2.13</v>
      </c>
      <c r="J43" s="5">
        <v>1.26</v>
      </c>
      <c r="K43" s="5">
        <v>1.56</v>
      </c>
      <c r="L43" s="5">
        <v>1.94</v>
      </c>
      <c r="M43" s="5">
        <v>0.87</v>
      </c>
      <c r="N43" s="1">
        <f t="shared" si="5"/>
        <v>18.64</v>
      </c>
    </row>
    <row r="44" ht="15.75" customHeight="1">
      <c r="A44" s="5" t="s">
        <v>120</v>
      </c>
      <c r="B44" s="5">
        <v>2.77</v>
      </c>
      <c r="C44" s="5">
        <v>3.29</v>
      </c>
      <c r="D44" s="5">
        <v>2.77</v>
      </c>
      <c r="E44" s="5">
        <v>2.04</v>
      </c>
      <c r="F44" s="5">
        <v>3.4</v>
      </c>
      <c r="G44" s="5">
        <v>1.79</v>
      </c>
      <c r="H44" s="5">
        <v>2.08</v>
      </c>
      <c r="I44" s="5">
        <v>3.6</v>
      </c>
      <c r="J44" s="5">
        <v>2.23</v>
      </c>
      <c r="K44" s="5">
        <v>2.6</v>
      </c>
      <c r="L44" s="5">
        <v>3.4</v>
      </c>
      <c r="M44" s="5">
        <v>1.56</v>
      </c>
      <c r="N44" s="1">
        <f t="shared" si="5"/>
        <v>31.53</v>
      </c>
    </row>
    <row r="45" ht="15.75" customHeight="1">
      <c r="A45" s="5" t="s">
        <v>121</v>
      </c>
      <c r="N45" s="1">
        <f t="shared" si="5"/>
        <v>0</v>
      </c>
    </row>
    <row r="46" ht="15.75" customHeight="1">
      <c r="A46" s="5" t="s">
        <v>122</v>
      </c>
      <c r="N46" s="1">
        <f t="shared" si="5"/>
        <v>0</v>
      </c>
    </row>
    <row r="47" ht="15.75" customHeight="1">
      <c r="A47" s="5" t="s">
        <v>123</v>
      </c>
      <c r="B47" s="5">
        <v>7.61</v>
      </c>
      <c r="C47" s="5">
        <v>7.94</v>
      </c>
      <c r="D47" s="5">
        <v>7.91</v>
      </c>
      <c r="E47" s="5">
        <v>7.32</v>
      </c>
      <c r="F47" s="5">
        <v>8.42</v>
      </c>
      <c r="G47" s="5">
        <v>4.64</v>
      </c>
      <c r="H47" s="5">
        <v>5.58</v>
      </c>
      <c r="I47" s="5">
        <v>9.43</v>
      </c>
      <c r="J47" s="5">
        <v>5.96</v>
      </c>
      <c r="K47" s="5">
        <v>7.01</v>
      </c>
      <c r="L47" s="5">
        <v>6.38</v>
      </c>
      <c r="M47" s="5">
        <v>4.53</v>
      </c>
      <c r="N47" s="1">
        <f t="shared" si="5"/>
        <v>82.73</v>
      </c>
    </row>
    <row r="48" ht="15.75" customHeight="1">
      <c r="A48" s="5" t="s">
        <v>124</v>
      </c>
      <c r="N48" s="1">
        <f t="shared" si="5"/>
        <v>0</v>
      </c>
    </row>
    <row r="49" ht="15.75" customHeight="1">
      <c r="A49" s="5" t="s">
        <v>125</v>
      </c>
      <c r="B49" s="5">
        <v>17.65</v>
      </c>
      <c r="C49" s="5">
        <v>20.01</v>
      </c>
      <c r="D49" s="5">
        <v>17.65</v>
      </c>
      <c r="E49" s="5">
        <v>15.44</v>
      </c>
      <c r="F49" s="5">
        <v>21.23</v>
      </c>
      <c r="G49" s="5">
        <v>12.15</v>
      </c>
      <c r="H49" s="5">
        <v>14.05</v>
      </c>
      <c r="I49" s="5">
        <v>23.01</v>
      </c>
      <c r="J49" s="5">
        <v>14.87</v>
      </c>
      <c r="K49" s="5">
        <v>17.65</v>
      </c>
      <c r="L49" s="5">
        <v>21.12</v>
      </c>
      <c r="M49" s="5">
        <v>11.4</v>
      </c>
      <c r="N49" s="1">
        <f t="shared" si="5"/>
        <v>206.23</v>
      </c>
    </row>
    <row r="50" ht="15.75" customHeight="1">
      <c r="A50" s="67" t="s">
        <v>71</v>
      </c>
      <c r="B50" s="69">
        <f t="shared" ref="B50:M50" si="6">SUM(B37:B49)</f>
        <v>48.55</v>
      </c>
      <c r="C50" s="70">
        <f t="shared" si="6"/>
        <v>54.89</v>
      </c>
      <c r="D50" s="70">
        <f t="shared" si="6"/>
        <v>38.61</v>
      </c>
      <c r="E50" s="70">
        <f t="shared" si="6"/>
        <v>34.13</v>
      </c>
      <c r="F50" s="70">
        <f t="shared" si="6"/>
        <v>39.05</v>
      </c>
      <c r="G50" s="70">
        <f t="shared" si="6"/>
        <v>25.17</v>
      </c>
      <c r="H50" s="70">
        <f t="shared" si="6"/>
        <v>31.95</v>
      </c>
      <c r="I50" s="70">
        <f t="shared" si="6"/>
        <v>51.32</v>
      </c>
      <c r="J50" s="70">
        <f t="shared" si="6"/>
        <v>29.39</v>
      </c>
      <c r="K50" s="70">
        <f t="shared" si="6"/>
        <v>32.61</v>
      </c>
      <c r="L50" s="70">
        <f t="shared" si="6"/>
        <v>44.04</v>
      </c>
      <c r="M50" s="70">
        <f t="shared" si="6"/>
        <v>26.82</v>
      </c>
      <c r="N50" s="66">
        <f t="shared" si="5"/>
        <v>456.53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O1:P1"/>
    <mergeCell ref="Q1:R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2.0"/>
    <col customWidth="1" min="3" max="3" width="13.0"/>
    <col customWidth="1" min="5" max="5" width="10.38"/>
    <col customWidth="1" min="6" max="6" width="9.88"/>
    <col customWidth="1" min="7" max="7" width="16.38"/>
  </cols>
  <sheetData>
    <row r="1">
      <c r="A1" s="5" t="s">
        <v>126</v>
      </c>
      <c r="B1" s="5" t="s">
        <v>4</v>
      </c>
      <c r="C1" s="5" t="s">
        <v>127</v>
      </c>
      <c r="D1" s="5" t="s">
        <v>128</v>
      </c>
      <c r="E1" s="5" t="s">
        <v>129</v>
      </c>
      <c r="F1" s="5" t="s">
        <v>130</v>
      </c>
      <c r="G1" s="5" t="s">
        <v>131</v>
      </c>
    </row>
    <row r="2">
      <c r="A2" s="5" t="s">
        <v>132</v>
      </c>
      <c r="B2" s="71">
        <v>480139.0</v>
      </c>
      <c r="C2" s="5">
        <f t="shared" ref="C2:C8" si="1">B2*0.09290304</f>
        <v>44606.37272</v>
      </c>
      <c r="D2" s="5">
        <f t="shared" ref="D2:D8" si="2">C2/100</f>
        <v>446.0637272</v>
      </c>
      <c r="E2" s="5">
        <v>20.0</v>
      </c>
      <c r="F2" s="5">
        <f t="shared" ref="F2:F8" si="3">E2/3.281</f>
        <v>6.09570253</v>
      </c>
      <c r="G2" s="5">
        <v>1397.0</v>
      </c>
      <c r="I2" s="5" t="s">
        <v>133</v>
      </c>
    </row>
    <row r="3">
      <c r="A3" s="5" t="s">
        <v>134</v>
      </c>
      <c r="B3" s="71">
        <v>115390.0</v>
      </c>
      <c r="C3" s="5">
        <f t="shared" si="1"/>
        <v>10720.08179</v>
      </c>
      <c r="D3" s="5">
        <f t="shared" si="2"/>
        <v>107.2008179</v>
      </c>
      <c r="E3" s="5">
        <v>20.0</v>
      </c>
      <c r="F3" s="5">
        <f t="shared" si="3"/>
        <v>6.09570253</v>
      </c>
      <c r="G3" s="5">
        <v>323.0</v>
      </c>
      <c r="I3" s="5">
        <v>6420.0</v>
      </c>
    </row>
    <row r="4">
      <c r="A4" s="5" t="s">
        <v>135</v>
      </c>
      <c r="B4" s="71">
        <v>142662.0</v>
      </c>
      <c r="C4" s="5">
        <f t="shared" si="1"/>
        <v>13253.73349</v>
      </c>
      <c r="D4" s="1">
        <f t="shared" si="2"/>
        <v>132.5373349</v>
      </c>
      <c r="E4" s="5">
        <v>20.0</v>
      </c>
      <c r="F4" s="5">
        <f t="shared" si="3"/>
        <v>6.09570253</v>
      </c>
      <c r="G4" s="5">
        <v>409.0</v>
      </c>
      <c r="I4" s="5">
        <v>36.0</v>
      </c>
    </row>
    <row r="5">
      <c r="A5" s="5" t="s">
        <v>136</v>
      </c>
      <c r="B5" s="71">
        <v>229132.0</v>
      </c>
      <c r="C5" s="5">
        <f t="shared" si="1"/>
        <v>21287.05936</v>
      </c>
      <c r="D5" s="5">
        <f t="shared" si="2"/>
        <v>212.8705936</v>
      </c>
      <c r="E5" s="5">
        <v>20.0</v>
      </c>
      <c r="F5" s="5">
        <f t="shared" si="3"/>
        <v>6.09570253</v>
      </c>
      <c r="G5" s="5">
        <v>656.0</v>
      </c>
      <c r="I5" s="5">
        <v>15.0</v>
      </c>
    </row>
    <row r="6">
      <c r="A6" s="5" t="s">
        <v>137</v>
      </c>
      <c r="B6" s="71">
        <v>272732.0</v>
      </c>
      <c r="C6" s="5">
        <f t="shared" si="1"/>
        <v>25337.63191</v>
      </c>
      <c r="D6" s="1">
        <f t="shared" si="2"/>
        <v>253.3763191</v>
      </c>
      <c r="E6" s="5">
        <v>20.0</v>
      </c>
      <c r="F6" s="5">
        <f t="shared" si="3"/>
        <v>6.09570253</v>
      </c>
      <c r="G6" s="5">
        <v>789.0</v>
      </c>
    </row>
    <row r="7">
      <c r="A7" s="5" t="s">
        <v>138</v>
      </c>
      <c r="B7" s="71">
        <v>10669.0</v>
      </c>
      <c r="C7" s="5">
        <f t="shared" si="1"/>
        <v>991.1825338</v>
      </c>
      <c r="D7" s="1">
        <f t="shared" si="2"/>
        <v>9.911825338</v>
      </c>
      <c r="E7" s="5">
        <v>20.0</v>
      </c>
      <c r="F7" s="5">
        <f t="shared" si="3"/>
        <v>6.09570253</v>
      </c>
      <c r="G7" s="5">
        <v>19.0</v>
      </c>
    </row>
    <row r="8">
      <c r="A8" s="5" t="s">
        <v>139</v>
      </c>
      <c r="B8" s="65">
        <f>SUM(B2:B7)</f>
        <v>1250724</v>
      </c>
      <c r="C8" s="5">
        <f t="shared" si="1"/>
        <v>116196.0618</v>
      </c>
      <c r="D8" s="5">
        <f t="shared" si="2"/>
        <v>1161.960618</v>
      </c>
      <c r="E8" s="5">
        <v>20.0</v>
      </c>
      <c r="F8" s="5">
        <f t="shared" si="3"/>
        <v>6.09570253</v>
      </c>
      <c r="G8" s="5">
        <f>SUM(G2:G7)</f>
        <v>3593</v>
      </c>
      <c r="I8" s="1">
        <f>I4/I3</f>
        <v>0.005607476636</v>
      </c>
    </row>
    <row r="9">
      <c r="A9" s="72" t="s">
        <v>140</v>
      </c>
    </row>
    <row r="11">
      <c r="A11" s="5" t="s">
        <v>141</v>
      </c>
      <c r="B11" s="5">
        <v>3593.0</v>
      </c>
    </row>
    <row r="13">
      <c r="A13" s="5" t="s">
        <v>142</v>
      </c>
      <c r="B13" s="71">
        <v>4012000.0</v>
      </c>
      <c r="C13" s="5" t="s">
        <v>143</v>
      </c>
    </row>
    <row r="14">
      <c r="A14" s="5" t="s">
        <v>144</v>
      </c>
      <c r="B14" s="1">
        <f>B8/B13</f>
        <v>0.3117457627</v>
      </c>
      <c r="C14" s="5" t="s">
        <v>145</v>
      </c>
    </row>
  </sheetData>
  <hyperlinks>
    <hyperlink r:id="rId1" ref="A9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6.88"/>
    <col customWidth="1" min="7" max="7" width="17.75"/>
    <col customWidth="1" min="8" max="8" width="10.63"/>
    <col customWidth="1" min="9" max="9" width="10.75"/>
    <col customWidth="1" min="10" max="10" width="5.38"/>
  </cols>
  <sheetData>
    <row r="1">
      <c r="A1" s="5" t="s">
        <v>146</v>
      </c>
      <c r="B1" s="5"/>
      <c r="C1" s="5"/>
      <c r="D1" s="5"/>
      <c r="E1" s="5"/>
      <c r="F1" s="5"/>
      <c r="H1" s="5"/>
      <c r="I1" s="5"/>
      <c r="J1" s="5"/>
      <c r="K1" s="5"/>
    </row>
    <row r="2">
      <c r="A2" s="5" t="s">
        <v>39</v>
      </c>
      <c r="B2" s="5" t="s">
        <v>147</v>
      </c>
      <c r="C2" s="5" t="s">
        <v>148</v>
      </c>
      <c r="D2" s="5" t="s">
        <v>149</v>
      </c>
      <c r="E2" s="5" t="s">
        <v>150</v>
      </c>
      <c r="F2" s="5" t="s">
        <v>151</v>
      </c>
      <c r="H2" s="5" t="s">
        <v>152</v>
      </c>
      <c r="I2" s="5" t="s">
        <v>153</v>
      </c>
      <c r="J2" s="5" t="s">
        <v>154</v>
      </c>
      <c r="K2" s="5" t="s">
        <v>155</v>
      </c>
      <c r="L2" s="5" t="s">
        <v>156</v>
      </c>
    </row>
    <row r="3">
      <c r="A3" s="5">
        <v>13.14</v>
      </c>
      <c r="C3" s="1">
        <f t="shared" ref="C3:C11" si="1">A3*1000</f>
        <v>13140</v>
      </c>
      <c r="D3" s="5">
        <v>400.0</v>
      </c>
      <c r="E3" s="73">
        <f t="shared" ref="E3:E11" si="2">D3/15.85</f>
        <v>25.23659306</v>
      </c>
      <c r="F3" s="5">
        <v>4.186</v>
      </c>
      <c r="G3" s="5" t="s">
        <v>157</v>
      </c>
      <c r="H3" s="5">
        <v>90.0</v>
      </c>
      <c r="I3" s="73">
        <f t="shared" ref="I3:I11" si="3">(H3-32)*(5/9)</f>
        <v>32.22222222</v>
      </c>
      <c r="J3" s="73">
        <f t="shared" ref="J3:J11" si="4">I3+(C3/(D3*F3))</f>
        <v>40.06980942</v>
      </c>
      <c r="K3" s="73">
        <f t="shared" ref="K3:K11" si="5">J3*(9/5)+32</f>
        <v>104.125657</v>
      </c>
      <c r="L3" s="73">
        <f t="shared" ref="L3:L11" si="6">K3-H3</f>
        <v>14.12565695</v>
      </c>
    </row>
    <row r="4">
      <c r="A4" s="5">
        <v>13.14</v>
      </c>
      <c r="C4" s="1">
        <f t="shared" si="1"/>
        <v>13140</v>
      </c>
      <c r="D4" s="5">
        <v>600.0</v>
      </c>
      <c r="E4" s="73">
        <f t="shared" si="2"/>
        <v>37.85488959</v>
      </c>
      <c r="F4" s="5">
        <v>4.186</v>
      </c>
      <c r="H4" s="5">
        <v>90.0</v>
      </c>
      <c r="I4" s="73">
        <f t="shared" si="3"/>
        <v>32.22222222</v>
      </c>
      <c r="J4" s="73">
        <f t="shared" si="4"/>
        <v>37.45394702</v>
      </c>
      <c r="K4" s="73">
        <f t="shared" si="5"/>
        <v>99.41710463</v>
      </c>
      <c r="L4" s="73">
        <f t="shared" si="6"/>
        <v>9.417104634</v>
      </c>
    </row>
    <row r="5">
      <c r="A5" s="5">
        <v>13.14</v>
      </c>
      <c r="C5" s="1">
        <f t="shared" si="1"/>
        <v>13140</v>
      </c>
      <c r="D5" s="5">
        <v>800.0</v>
      </c>
      <c r="E5" s="73">
        <f t="shared" si="2"/>
        <v>50.47318612</v>
      </c>
      <c r="F5" s="5">
        <v>4.186</v>
      </c>
      <c r="H5" s="5">
        <v>90.0</v>
      </c>
      <c r="I5" s="73">
        <f t="shared" si="3"/>
        <v>32.22222222</v>
      </c>
      <c r="J5" s="73">
        <f t="shared" si="4"/>
        <v>36.14601582</v>
      </c>
      <c r="K5" s="73">
        <f t="shared" si="5"/>
        <v>97.06282848</v>
      </c>
      <c r="L5" s="73">
        <f t="shared" si="6"/>
        <v>7.062828476</v>
      </c>
    </row>
    <row r="6">
      <c r="A6" s="5">
        <v>13.14</v>
      </c>
      <c r="C6" s="1">
        <f t="shared" si="1"/>
        <v>13140</v>
      </c>
      <c r="D6" s="5">
        <v>1000.0</v>
      </c>
      <c r="E6" s="73">
        <f t="shared" si="2"/>
        <v>63.09148265</v>
      </c>
      <c r="F6" s="5">
        <v>4.186</v>
      </c>
      <c r="H6" s="5">
        <v>90.0</v>
      </c>
      <c r="I6" s="73">
        <f t="shared" si="3"/>
        <v>32.22222222</v>
      </c>
      <c r="J6" s="73">
        <f t="shared" si="4"/>
        <v>35.3612571</v>
      </c>
      <c r="K6" s="73">
        <f t="shared" si="5"/>
        <v>95.65026278</v>
      </c>
      <c r="L6" s="73">
        <f t="shared" si="6"/>
        <v>5.650262781</v>
      </c>
    </row>
    <row r="7">
      <c r="A7" s="5">
        <v>13.14</v>
      </c>
      <c r="C7" s="1">
        <f t="shared" si="1"/>
        <v>13140</v>
      </c>
      <c r="D7" s="74">
        <v>1200.0</v>
      </c>
      <c r="E7" s="75">
        <f t="shared" si="2"/>
        <v>75.70977918</v>
      </c>
      <c r="F7" s="5">
        <v>4.186</v>
      </c>
      <c r="G7" s="76"/>
      <c r="H7" s="74">
        <v>90.0</v>
      </c>
      <c r="I7" s="75">
        <f t="shared" si="3"/>
        <v>32.22222222</v>
      </c>
      <c r="J7" s="75">
        <f t="shared" si="4"/>
        <v>34.83808462</v>
      </c>
      <c r="K7" s="75">
        <f t="shared" si="5"/>
        <v>94.70855232</v>
      </c>
      <c r="L7" s="73">
        <f t="shared" si="6"/>
        <v>4.708552317</v>
      </c>
      <c r="M7" s="5" t="s">
        <v>158</v>
      </c>
    </row>
    <row r="8">
      <c r="A8" s="5">
        <v>13.14</v>
      </c>
      <c r="C8" s="1">
        <f t="shared" si="1"/>
        <v>13140</v>
      </c>
      <c r="D8" s="74">
        <v>1400.0</v>
      </c>
      <c r="E8" s="75">
        <f t="shared" si="2"/>
        <v>88.32807571</v>
      </c>
      <c r="F8" s="5">
        <v>4.186</v>
      </c>
      <c r="G8" s="76"/>
      <c r="H8" s="74">
        <v>90.0</v>
      </c>
      <c r="I8" s="75">
        <f t="shared" si="3"/>
        <v>32.22222222</v>
      </c>
      <c r="J8" s="75">
        <f t="shared" si="4"/>
        <v>34.46438999</v>
      </c>
      <c r="K8" s="75">
        <f t="shared" si="5"/>
        <v>94.03590199</v>
      </c>
      <c r="L8" s="73">
        <f t="shared" si="6"/>
        <v>4.035901986</v>
      </c>
    </row>
    <row r="9">
      <c r="A9" s="5">
        <v>13.14</v>
      </c>
      <c r="C9" s="1">
        <f t="shared" si="1"/>
        <v>13140</v>
      </c>
      <c r="D9" s="5">
        <v>1600.0</v>
      </c>
      <c r="E9" s="73">
        <f t="shared" si="2"/>
        <v>100.9463722</v>
      </c>
      <c r="F9" s="5">
        <v>4.186</v>
      </c>
      <c r="H9" s="5">
        <v>90.0</v>
      </c>
      <c r="I9" s="73">
        <f t="shared" si="3"/>
        <v>32.22222222</v>
      </c>
      <c r="J9" s="73">
        <f t="shared" si="4"/>
        <v>34.18411902</v>
      </c>
      <c r="K9" s="73">
        <f t="shared" si="5"/>
        <v>93.53141424</v>
      </c>
      <c r="L9" s="73">
        <f t="shared" si="6"/>
        <v>3.531414238</v>
      </c>
    </row>
    <row r="10">
      <c r="A10" s="5">
        <v>13.14</v>
      </c>
      <c r="C10" s="1">
        <f t="shared" si="1"/>
        <v>13140</v>
      </c>
      <c r="D10" s="5">
        <v>1800.0</v>
      </c>
      <c r="E10" s="73">
        <f t="shared" si="2"/>
        <v>113.5646688</v>
      </c>
      <c r="F10" s="5">
        <v>4.186</v>
      </c>
      <c r="H10" s="5">
        <v>90.0</v>
      </c>
      <c r="I10" s="73">
        <f t="shared" si="3"/>
        <v>32.22222222</v>
      </c>
      <c r="J10" s="73">
        <f t="shared" si="4"/>
        <v>33.96613049</v>
      </c>
      <c r="K10" s="73">
        <f t="shared" si="5"/>
        <v>93.13903488</v>
      </c>
      <c r="L10" s="73">
        <f t="shared" si="6"/>
        <v>3.139034878</v>
      </c>
    </row>
    <row r="11">
      <c r="A11" s="5">
        <v>13.14</v>
      </c>
      <c r="C11" s="1">
        <f t="shared" si="1"/>
        <v>13140</v>
      </c>
      <c r="D11" s="5">
        <v>2000.0</v>
      </c>
      <c r="E11" s="73">
        <f t="shared" si="2"/>
        <v>126.1829653</v>
      </c>
      <c r="F11" s="5">
        <v>4.186</v>
      </c>
      <c r="H11" s="5">
        <v>90.0</v>
      </c>
      <c r="I11" s="73">
        <f t="shared" si="3"/>
        <v>32.22222222</v>
      </c>
      <c r="J11" s="73">
        <f t="shared" si="4"/>
        <v>33.79173966</v>
      </c>
      <c r="K11" s="73">
        <f t="shared" si="5"/>
        <v>92.82513139</v>
      </c>
      <c r="L11" s="73">
        <f t="shared" si="6"/>
        <v>2.82513139</v>
      </c>
    </row>
    <row r="15">
      <c r="A15" s="5" t="s">
        <v>159</v>
      </c>
      <c r="E15" s="73"/>
    </row>
    <row r="16">
      <c r="A16" s="5" t="s">
        <v>160</v>
      </c>
      <c r="B16" s="5" t="s">
        <v>147</v>
      </c>
      <c r="D16" s="5"/>
      <c r="E16" s="73"/>
      <c r="G16" s="5"/>
      <c r="H16" s="5"/>
      <c r="I16" s="73"/>
      <c r="J16" s="73"/>
      <c r="K16" s="73"/>
    </row>
    <row r="17">
      <c r="A17" s="5">
        <v>21.81</v>
      </c>
      <c r="C17" s="1">
        <f t="shared" ref="C17:C25" si="7">-A17*1000</f>
        <v>-21810</v>
      </c>
      <c r="D17" s="5">
        <v>400.0</v>
      </c>
      <c r="E17" s="73">
        <f t="shared" ref="E17:E25" si="8">D17/15.85</f>
        <v>25.23659306</v>
      </c>
      <c r="F17" s="5">
        <v>4.186</v>
      </c>
      <c r="G17" s="5" t="s">
        <v>161</v>
      </c>
      <c r="H17" s="5">
        <v>40.0</v>
      </c>
      <c r="I17" s="73">
        <f t="shared" ref="I17:I25" si="9">(H17-32)*(5/9)</f>
        <v>4.444444444</v>
      </c>
      <c r="J17" s="73">
        <f t="shared" ref="J17:J25" si="10">I17+(C17/(D17*F17))</f>
        <v>-8.581116951</v>
      </c>
      <c r="K17" s="73">
        <f t="shared" ref="K17:K25" si="11">J17*(9/5)+32</f>
        <v>16.55398949</v>
      </c>
      <c r="L17" s="73">
        <f t="shared" ref="L17:L25" si="12">K17-H17</f>
        <v>-23.44601051</v>
      </c>
    </row>
    <row r="18">
      <c r="A18" s="5">
        <v>21.81</v>
      </c>
      <c r="C18" s="1">
        <f t="shared" si="7"/>
        <v>-21810</v>
      </c>
      <c r="D18" s="5">
        <v>600.0</v>
      </c>
      <c r="E18" s="73">
        <f t="shared" si="8"/>
        <v>37.85488959</v>
      </c>
      <c r="F18" s="5">
        <v>4.186</v>
      </c>
      <c r="H18" s="5">
        <v>40.0</v>
      </c>
      <c r="I18" s="73">
        <f t="shared" si="9"/>
        <v>4.444444444</v>
      </c>
      <c r="J18" s="73">
        <f t="shared" si="10"/>
        <v>-4.239263152</v>
      </c>
      <c r="K18" s="73">
        <f t="shared" si="11"/>
        <v>24.36932633</v>
      </c>
      <c r="L18" s="73">
        <f t="shared" si="12"/>
        <v>-15.63067367</v>
      </c>
    </row>
    <row r="19">
      <c r="A19" s="5">
        <v>21.81</v>
      </c>
      <c r="C19" s="1">
        <f t="shared" si="7"/>
        <v>-21810</v>
      </c>
      <c r="D19" s="5">
        <v>800.0</v>
      </c>
      <c r="E19" s="73">
        <f t="shared" si="8"/>
        <v>50.47318612</v>
      </c>
      <c r="F19" s="5">
        <v>4.186</v>
      </c>
      <c r="H19" s="5">
        <v>40.0</v>
      </c>
      <c r="I19" s="73">
        <f t="shared" si="9"/>
        <v>4.444444444</v>
      </c>
      <c r="J19" s="73">
        <f t="shared" si="10"/>
        <v>-2.068336253</v>
      </c>
      <c r="K19" s="73">
        <f t="shared" si="11"/>
        <v>28.27699474</v>
      </c>
      <c r="L19" s="73">
        <f t="shared" si="12"/>
        <v>-11.72300526</v>
      </c>
    </row>
    <row r="20">
      <c r="A20" s="5">
        <v>21.81</v>
      </c>
      <c r="C20" s="1">
        <f t="shared" si="7"/>
        <v>-21810</v>
      </c>
      <c r="D20" s="5">
        <v>1000.0</v>
      </c>
      <c r="E20" s="73">
        <f t="shared" si="8"/>
        <v>63.09148265</v>
      </c>
      <c r="F20" s="5">
        <v>4.186</v>
      </c>
      <c r="H20" s="5">
        <v>40.0</v>
      </c>
      <c r="I20" s="73">
        <f t="shared" si="9"/>
        <v>4.444444444</v>
      </c>
      <c r="J20" s="73">
        <f t="shared" si="10"/>
        <v>-0.7657801136</v>
      </c>
      <c r="K20" s="73">
        <f t="shared" si="11"/>
        <v>30.6215958</v>
      </c>
      <c r="L20" s="73">
        <f t="shared" si="12"/>
        <v>-9.378404204</v>
      </c>
    </row>
    <row r="21">
      <c r="A21" s="5">
        <v>21.81</v>
      </c>
      <c r="C21" s="1">
        <f t="shared" si="7"/>
        <v>-21810</v>
      </c>
      <c r="D21" s="5">
        <v>1200.0</v>
      </c>
      <c r="E21" s="73">
        <f t="shared" si="8"/>
        <v>75.70977918</v>
      </c>
      <c r="F21" s="5">
        <v>4.186</v>
      </c>
      <c r="H21" s="5">
        <v>40.0</v>
      </c>
      <c r="I21" s="73">
        <f t="shared" si="9"/>
        <v>4.444444444</v>
      </c>
      <c r="J21" s="73">
        <f t="shared" si="10"/>
        <v>0.1025906461</v>
      </c>
      <c r="K21" s="73">
        <f t="shared" si="11"/>
        <v>32.18466316</v>
      </c>
      <c r="L21" s="73">
        <f t="shared" si="12"/>
        <v>-7.815336837</v>
      </c>
    </row>
    <row r="22">
      <c r="A22" s="5">
        <v>21.81</v>
      </c>
      <c r="C22" s="1">
        <f t="shared" si="7"/>
        <v>-21810</v>
      </c>
      <c r="D22" s="5">
        <v>1400.0</v>
      </c>
      <c r="E22" s="73">
        <f t="shared" si="8"/>
        <v>88.32807571</v>
      </c>
      <c r="F22" s="5">
        <v>4.186</v>
      </c>
      <c r="H22" s="5">
        <v>40.0</v>
      </c>
      <c r="I22" s="73">
        <f t="shared" si="9"/>
        <v>4.444444444</v>
      </c>
      <c r="J22" s="73">
        <f t="shared" si="10"/>
        <v>0.7228554744</v>
      </c>
      <c r="K22" s="73">
        <f t="shared" si="11"/>
        <v>33.30113985</v>
      </c>
      <c r="L22" s="73">
        <f t="shared" si="12"/>
        <v>-6.698860146</v>
      </c>
    </row>
    <row r="23">
      <c r="A23" s="5">
        <v>21.81</v>
      </c>
      <c r="C23" s="1">
        <f t="shared" si="7"/>
        <v>-21810</v>
      </c>
      <c r="D23" s="74">
        <v>1600.0</v>
      </c>
      <c r="E23" s="75">
        <f t="shared" si="8"/>
        <v>100.9463722</v>
      </c>
      <c r="F23" s="5">
        <v>4.186</v>
      </c>
      <c r="G23" s="76"/>
      <c r="H23" s="74">
        <v>40.0</v>
      </c>
      <c r="I23" s="75">
        <f t="shared" si="9"/>
        <v>4.444444444</v>
      </c>
      <c r="J23" s="75">
        <f t="shared" si="10"/>
        <v>1.188054096</v>
      </c>
      <c r="K23" s="75">
        <f t="shared" si="11"/>
        <v>34.13849737</v>
      </c>
      <c r="L23" s="73">
        <f t="shared" si="12"/>
        <v>-5.861502628</v>
      </c>
      <c r="M23" s="5" t="s">
        <v>162</v>
      </c>
    </row>
    <row r="24">
      <c r="A24" s="5">
        <v>21.81</v>
      </c>
      <c r="C24" s="1">
        <f t="shared" si="7"/>
        <v>-21810</v>
      </c>
      <c r="D24" s="74">
        <v>1800.0</v>
      </c>
      <c r="E24" s="75">
        <f t="shared" si="8"/>
        <v>113.5646688</v>
      </c>
      <c r="F24" s="5">
        <v>4.186</v>
      </c>
      <c r="G24" s="76"/>
      <c r="H24" s="74">
        <v>40.0</v>
      </c>
      <c r="I24" s="75">
        <f t="shared" si="9"/>
        <v>4.444444444</v>
      </c>
      <c r="J24" s="75">
        <f t="shared" si="10"/>
        <v>1.549875246</v>
      </c>
      <c r="K24" s="75">
        <f t="shared" si="11"/>
        <v>34.78977544</v>
      </c>
      <c r="L24" s="73">
        <f t="shared" si="12"/>
        <v>-5.210224558</v>
      </c>
    </row>
    <row r="25">
      <c r="A25" s="5">
        <v>21.81</v>
      </c>
      <c r="C25" s="1">
        <f t="shared" si="7"/>
        <v>-21810</v>
      </c>
      <c r="D25" s="5">
        <v>2000.0</v>
      </c>
      <c r="E25" s="73">
        <f t="shared" si="8"/>
        <v>126.1829653</v>
      </c>
      <c r="F25" s="5">
        <v>4.186</v>
      </c>
      <c r="H25" s="5">
        <v>40.0</v>
      </c>
      <c r="I25" s="73">
        <f t="shared" si="9"/>
        <v>4.444444444</v>
      </c>
      <c r="J25" s="73">
        <f t="shared" si="10"/>
        <v>1.839332165</v>
      </c>
      <c r="K25" s="73">
        <f t="shared" si="11"/>
        <v>35.3107979</v>
      </c>
      <c r="L25" s="73">
        <f t="shared" si="12"/>
        <v>-4.689202102</v>
      </c>
    </row>
    <row r="26">
      <c r="M26" s="5" t="s">
        <v>163</v>
      </c>
    </row>
    <row r="27">
      <c r="M27" s="72" t="s">
        <v>164</v>
      </c>
    </row>
    <row r="29">
      <c r="A29" s="5" t="s">
        <v>165</v>
      </c>
    </row>
    <row r="30">
      <c r="A30" s="5">
        <v>21.81</v>
      </c>
      <c r="C30" s="1">
        <f>-A30*1000</f>
        <v>-21810</v>
      </c>
      <c r="D30" s="5">
        <v>1400.0</v>
      </c>
      <c r="E30" s="73">
        <f t="shared" ref="E30:E31" si="13">D30/15.85</f>
        <v>88.32807571</v>
      </c>
      <c r="F30" s="5">
        <v>4.186</v>
      </c>
      <c r="H30" s="5">
        <v>68.0</v>
      </c>
      <c r="I30" s="73">
        <f t="shared" ref="I30:I31" si="14">(H30-32)*(5/9)</f>
        <v>20</v>
      </c>
      <c r="J30" s="73">
        <f t="shared" ref="J30:J31" si="15">I30+(C30/(D30*F30))</f>
        <v>16.27841103</v>
      </c>
      <c r="K30" s="73">
        <f t="shared" ref="K30:K31" si="16">J30*(9/5)+32</f>
        <v>61.30113985</v>
      </c>
      <c r="L30" s="73">
        <f t="shared" ref="L30:L31" si="17">K30-H30</f>
        <v>-6.698860146</v>
      </c>
    </row>
    <row r="31">
      <c r="A31" s="5">
        <v>13.14</v>
      </c>
      <c r="C31" s="1">
        <f>A31*1000</f>
        <v>13140</v>
      </c>
      <c r="D31" s="5">
        <v>1400.0</v>
      </c>
      <c r="E31" s="73">
        <f t="shared" si="13"/>
        <v>88.32807571</v>
      </c>
      <c r="F31" s="5">
        <v>4.186</v>
      </c>
      <c r="H31" s="5">
        <v>86.0</v>
      </c>
      <c r="I31" s="73">
        <f t="shared" si="14"/>
        <v>30</v>
      </c>
      <c r="J31" s="73">
        <f t="shared" si="15"/>
        <v>32.24216777</v>
      </c>
      <c r="K31" s="73">
        <f t="shared" si="16"/>
        <v>90.03590199</v>
      </c>
      <c r="L31" s="73">
        <f t="shared" si="17"/>
        <v>4.035901986</v>
      </c>
    </row>
    <row r="33">
      <c r="A33" s="5" t="s">
        <v>166</v>
      </c>
    </row>
    <row r="34">
      <c r="A34" s="77" t="s">
        <v>167</v>
      </c>
      <c r="B34" s="78"/>
      <c r="C34" s="77">
        <f t="shared" ref="C34:C45" si="18">B34*1000</f>
        <v>0</v>
      </c>
      <c r="D34" s="5">
        <v>1400.0</v>
      </c>
      <c r="E34" s="73">
        <f t="shared" ref="E34:E45" si="19">D34/15.85</f>
        <v>88.32807571</v>
      </c>
      <c r="F34" s="5">
        <v>4.186</v>
      </c>
      <c r="H34" s="5">
        <v>40.0</v>
      </c>
      <c r="I34" s="73">
        <f t="shared" ref="I34:I45" si="20">(H34-32)*(5/9)</f>
        <v>4.444444444</v>
      </c>
      <c r="J34" s="73">
        <f t="shared" ref="J34:J45" si="21">I34+(C34/(D34*F34))</f>
        <v>4.444444444</v>
      </c>
      <c r="K34" s="73">
        <f t="shared" ref="K34:K45" si="22">J34*(9/5)+32</f>
        <v>40</v>
      </c>
      <c r="L34" s="73">
        <f t="shared" ref="L34:L45" si="23">K34-H34</f>
        <v>0</v>
      </c>
    </row>
    <row r="35">
      <c r="A35" s="77" t="s">
        <v>168</v>
      </c>
      <c r="B35" s="78"/>
      <c r="C35" s="77">
        <f t="shared" si="18"/>
        <v>0</v>
      </c>
      <c r="D35" s="5">
        <v>1400.0</v>
      </c>
      <c r="E35" s="73">
        <f t="shared" si="19"/>
        <v>88.32807571</v>
      </c>
      <c r="F35" s="5">
        <v>4.186</v>
      </c>
      <c r="H35" s="5">
        <v>40.0</v>
      </c>
      <c r="I35" s="73">
        <f t="shared" si="20"/>
        <v>4.444444444</v>
      </c>
      <c r="J35" s="73">
        <f t="shared" si="21"/>
        <v>4.444444444</v>
      </c>
      <c r="K35" s="73">
        <f t="shared" si="22"/>
        <v>40</v>
      </c>
      <c r="L35" s="73">
        <f t="shared" si="23"/>
        <v>0</v>
      </c>
    </row>
    <row r="36">
      <c r="A36" s="77" t="s">
        <v>169</v>
      </c>
      <c r="B36" s="78"/>
      <c r="C36" s="77">
        <f t="shared" si="18"/>
        <v>0</v>
      </c>
      <c r="D36" s="5">
        <v>1400.0</v>
      </c>
      <c r="E36" s="73">
        <f t="shared" si="19"/>
        <v>88.32807571</v>
      </c>
      <c r="F36" s="5">
        <v>4.186</v>
      </c>
      <c r="H36" s="5">
        <v>86.0</v>
      </c>
      <c r="I36" s="73">
        <f t="shared" si="20"/>
        <v>30</v>
      </c>
      <c r="J36" s="73">
        <f t="shared" si="21"/>
        <v>30</v>
      </c>
      <c r="K36" s="73">
        <f t="shared" si="22"/>
        <v>86</v>
      </c>
      <c r="L36" s="73">
        <f t="shared" si="23"/>
        <v>0</v>
      </c>
    </row>
    <row r="37">
      <c r="A37" s="77" t="s">
        <v>170</v>
      </c>
      <c r="B37" s="77">
        <v>0.88</v>
      </c>
      <c r="C37" s="77">
        <f t="shared" si="18"/>
        <v>880</v>
      </c>
      <c r="D37" s="5">
        <v>1400.0</v>
      </c>
      <c r="E37" s="73">
        <f t="shared" si="19"/>
        <v>88.32807571</v>
      </c>
      <c r="F37" s="5">
        <v>4.186</v>
      </c>
      <c r="H37" s="5">
        <v>86.0</v>
      </c>
      <c r="I37" s="73">
        <f t="shared" si="20"/>
        <v>30</v>
      </c>
      <c r="J37" s="73">
        <f t="shared" si="21"/>
        <v>30.1501604</v>
      </c>
      <c r="K37" s="73">
        <f t="shared" si="22"/>
        <v>86.27028872</v>
      </c>
      <c r="L37" s="73">
        <f t="shared" si="23"/>
        <v>0.2702887175</v>
      </c>
    </row>
    <row r="38">
      <c r="A38" s="77" t="s">
        <v>105</v>
      </c>
      <c r="B38" s="79">
        <v>3.26</v>
      </c>
      <c r="C38" s="77">
        <f t="shared" si="18"/>
        <v>3260</v>
      </c>
      <c r="D38" s="5">
        <v>1400.0</v>
      </c>
      <c r="E38" s="73">
        <f t="shared" si="19"/>
        <v>88.32807571</v>
      </c>
      <c r="F38" s="5">
        <v>4.186</v>
      </c>
      <c r="H38" s="5">
        <v>86.0</v>
      </c>
      <c r="I38" s="73">
        <f t="shared" si="20"/>
        <v>30</v>
      </c>
      <c r="J38" s="73">
        <f t="shared" si="21"/>
        <v>30.55627602</v>
      </c>
      <c r="K38" s="73">
        <f t="shared" si="22"/>
        <v>87.00129684</v>
      </c>
      <c r="L38" s="73">
        <f t="shared" si="23"/>
        <v>1.00129684</v>
      </c>
    </row>
    <row r="39">
      <c r="A39" s="77" t="s">
        <v>171</v>
      </c>
      <c r="B39" s="79">
        <v>5.6</v>
      </c>
      <c r="C39" s="77">
        <f t="shared" si="18"/>
        <v>5600</v>
      </c>
      <c r="D39" s="5">
        <v>1400.0</v>
      </c>
      <c r="E39" s="73">
        <f t="shared" si="19"/>
        <v>88.32807571</v>
      </c>
      <c r="F39" s="5">
        <v>4.186</v>
      </c>
      <c r="H39" s="5">
        <v>86.0</v>
      </c>
      <c r="I39" s="73">
        <f t="shared" si="20"/>
        <v>30</v>
      </c>
      <c r="J39" s="73">
        <f t="shared" si="21"/>
        <v>30.95556617</v>
      </c>
      <c r="K39" s="73">
        <f t="shared" si="22"/>
        <v>87.72001911</v>
      </c>
      <c r="L39" s="73">
        <f t="shared" si="23"/>
        <v>1.720019111</v>
      </c>
    </row>
    <row r="40">
      <c r="A40" s="77" t="s">
        <v>172</v>
      </c>
      <c r="B40" s="79">
        <v>9.05</v>
      </c>
      <c r="C40" s="77">
        <f t="shared" si="18"/>
        <v>9050</v>
      </c>
      <c r="D40" s="5">
        <v>1400.0</v>
      </c>
      <c r="E40" s="73">
        <f t="shared" si="19"/>
        <v>88.32807571</v>
      </c>
      <c r="F40" s="5">
        <v>4.186</v>
      </c>
      <c r="H40" s="5">
        <v>86.0</v>
      </c>
      <c r="I40" s="73">
        <f t="shared" si="20"/>
        <v>30</v>
      </c>
      <c r="J40" s="73">
        <f t="shared" si="21"/>
        <v>31.54426319</v>
      </c>
      <c r="K40" s="73">
        <f t="shared" si="22"/>
        <v>88.77967374</v>
      </c>
      <c r="L40" s="73">
        <f t="shared" si="23"/>
        <v>2.779673742</v>
      </c>
    </row>
    <row r="41">
      <c r="A41" s="77" t="s">
        <v>173</v>
      </c>
      <c r="B41" s="79">
        <v>13.14</v>
      </c>
      <c r="C41" s="77">
        <f t="shared" si="18"/>
        <v>13140</v>
      </c>
      <c r="D41" s="5">
        <v>1400.0</v>
      </c>
      <c r="E41" s="73">
        <f t="shared" si="19"/>
        <v>88.32807571</v>
      </c>
      <c r="F41" s="5">
        <v>4.186</v>
      </c>
      <c r="H41" s="5">
        <v>86.0</v>
      </c>
      <c r="I41" s="73">
        <f t="shared" si="20"/>
        <v>30</v>
      </c>
      <c r="J41" s="73">
        <f t="shared" si="21"/>
        <v>32.24216777</v>
      </c>
      <c r="K41" s="73">
        <f t="shared" si="22"/>
        <v>90.03590199</v>
      </c>
      <c r="L41" s="73">
        <f t="shared" si="23"/>
        <v>4.035901986</v>
      </c>
    </row>
    <row r="42">
      <c r="A42" s="77" t="s">
        <v>174</v>
      </c>
      <c r="B42" s="79">
        <v>5.05</v>
      </c>
      <c r="C42" s="77">
        <f t="shared" si="18"/>
        <v>5050</v>
      </c>
      <c r="D42" s="5">
        <v>1400.0</v>
      </c>
      <c r="E42" s="73">
        <f t="shared" si="19"/>
        <v>88.32807571</v>
      </c>
      <c r="F42" s="5">
        <v>4.186</v>
      </c>
      <c r="H42" s="5">
        <v>86.0</v>
      </c>
      <c r="I42" s="73">
        <f t="shared" si="20"/>
        <v>30</v>
      </c>
      <c r="J42" s="73">
        <f t="shared" si="21"/>
        <v>30.86171592</v>
      </c>
      <c r="K42" s="73">
        <f t="shared" si="22"/>
        <v>87.55108866</v>
      </c>
      <c r="L42" s="73">
        <f t="shared" si="23"/>
        <v>1.551088663</v>
      </c>
    </row>
    <row r="43">
      <c r="A43" s="77" t="s">
        <v>175</v>
      </c>
      <c r="B43" s="77">
        <v>1.19</v>
      </c>
      <c r="C43" s="77">
        <f t="shared" si="18"/>
        <v>1190</v>
      </c>
      <c r="D43" s="5">
        <v>1400.0</v>
      </c>
      <c r="E43" s="73">
        <f t="shared" si="19"/>
        <v>88.32807571</v>
      </c>
      <c r="F43" s="5">
        <v>4.186</v>
      </c>
      <c r="H43" s="5">
        <v>86.0</v>
      </c>
      <c r="I43" s="73">
        <f t="shared" si="20"/>
        <v>30</v>
      </c>
      <c r="J43" s="73">
        <f t="shared" si="21"/>
        <v>30.20305781</v>
      </c>
      <c r="K43" s="73">
        <f t="shared" si="22"/>
        <v>86.36550406</v>
      </c>
      <c r="L43" s="73">
        <f t="shared" si="23"/>
        <v>0.3655040612</v>
      </c>
    </row>
    <row r="44">
      <c r="A44" s="77" t="s">
        <v>176</v>
      </c>
      <c r="B44" s="78"/>
      <c r="C44" s="77">
        <f t="shared" si="18"/>
        <v>0</v>
      </c>
      <c r="D44" s="5">
        <v>1400.0</v>
      </c>
      <c r="E44" s="73">
        <f t="shared" si="19"/>
        <v>88.32807571</v>
      </c>
      <c r="F44" s="5">
        <v>4.186</v>
      </c>
      <c r="H44" s="5">
        <v>86.0</v>
      </c>
      <c r="I44" s="73">
        <f t="shared" si="20"/>
        <v>30</v>
      </c>
      <c r="J44" s="73">
        <f t="shared" si="21"/>
        <v>30</v>
      </c>
      <c r="K44" s="73">
        <f t="shared" si="22"/>
        <v>86</v>
      </c>
      <c r="L44" s="73">
        <f t="shared" si="23"/>
        <v>0</v>
      </c>
    </row>
    <row r="45">
      <c r="A45" s="77" t="s">
        <v>177</v>
      </c>
      <c r="B45" s="78"/>
      <c r="C45" s="77">
        <f t="shared" si="18"/>
        <v>0</v>
      </c>
      <c r="D45" s="5">
        <v>1400.0</v>
      </c>
      <c r="E45" s="73">
        <f t="shared" si="19"/>
        <v>88.32807571</v>
      </c>
      <c r="F45" s="5">
        <v>4.186</v>
      </c>
      <c r="H45" s="5">
        <v>86.0</v>
      </c>
      <c r="I45" s="73">
        <f t="shared" si="20"/>
        <v>30</v>
      </c>
      <c r="J45" s="73">
        <f t="shared" si="21"/>
        <v>30</v>
      </c>
      <c r="K45" s="73">
        <f t="shared" si="22"/>
        <v>86</v>
      </c>
      <c r="L45" s="73">
        <f t="shared" si="23"/>
        <v>0</v>
      </c>
    </row>
    <row r="46">
      <c r="C46" s="77"/>
    </row>
  </sheetData>
  <hyperlinks>
    <hyperlink r:id="rId1" ref="M27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4.0"/>
  </cols>
  <sheetData>
    <row r="1">
      <c r="A1" s="5" t="s">
        <v>178</v>
      </c>
      <c r="B1" s="5"/>
      <c r="C1" s="5"/>
      <c r="D1" s="5"/>
      <c r="E1" s="5"/>
      <c r="F1" s="5"/>
      <c r="G1" s="5"/>
    </row>
    <row r="2">
      <c r="B2" s="5" t="s">
        <v>179</v>
      </c>
      <c r="C2" s="5" t="s">
        <v>180</v>
      </c>
      <c r="D2" s="5" t="s">
        <v>181</v>
      </c>
      <c r="E2" s="5" t="s">
        <v>125</v>
      </c>
      <c r="F2" s="5" t="s">
        <v>113</v>
      </c>
      <c r="G2" s="5" t="s">
        <v>182</v>
      </c>
    </row>
    <row r="3">
      <c r="B3" s="5"/>
      <c r="C3" s="5"/>
      <c r="D3" s="5"/>
      <c r="E3" s="5" t="s">
        <v>160</v>
      </c>
      <c r="F3" s="5" t="s">
        <v>160</v>
      </c>
      <c r="G3" s="5" t="s">
        <v>160</v>
      </c>
      <c r="H3" s="5" t="s">
        <v>183</v>
      </c>
      <c r="I3" s="5" t="s">
        <v>148</v>
      </c>
      <c r="J3" s="5" t="s">
        <v>149</v>
      </c>
      <c r="K3" s="5" t="s">
        <v>150</v>
      </c>
      <c r="L3" s="5" t="s">
        <v>151</v>
      </c>
      <c r="N3" s="5" t="s">
        <v>152</v>
      </c>
      <c r="O3" s="5" t="s">
        <v>153</v>
      </c>
      <c r="P3" s="5" t="s">
        <v>154</v>
      </c>
      <c r="Q3" s="5" t="s">
        <v>155</v>
      </c>
      <c r="R3" s="5" t="s">
        <v>156</v>
      </c>
    </row>
    <row r="4">
      <c r="A4" s="77" t="s">
        <v>167</v>
      </c>
      <c r="B4" s="77">
        <v>70.0</v>
      </c>
      <c r="C4" s="5">
        <v>7.61</v>
      </c>
      <c r="D4" s="5">
        <v>18.89</v>
      </c>
      <c r="E4" s="5">
        <v>17.65</v>
      </c>
      <c r="F4" s="78"/>
      <c r="G4" s="1">
        <f t="shared" ref="G4:G15" si="1">F63/5</f>
        <v>0</v>
      </c>
      <c r="H4" s="1">
        <f t="shared" ref="H4:H15" si="2">sum(B4:G4)</f>
        <v>114.15</v>
      </c>
      <c r="I4" s="1">
        <f t="shared" ref="I4:I15" si="3">H4*1000</f>
        <v>114150</v>
      </c>
      <c r="J4" s="80">
        <v>100.0</v>
      </c>
      <c r="K4" s="73">
        <f t="shared" ref="K4:K15" si="4">J4/15.85</f>
        <v>6.309148265</v>
      </c>
      <c r="L4" s="5">
        <v>4.186</v>
      </c>
      <c r="N4" s="5">
        <v>36.61626344</v>
      </c>
      <c r="O4" s="73">
        <f t="shared" ref="O4:O15" si="5">(N4-32)*(5/9)</f>
        <v>2.5645908</v>
      </c>
      <c r="P4" s="73">
        <f t="shared" ref="P4:P15" si="6">O4+(H4/(J4*L4))</f>
        <v>2.837285497</v>
      </c>
      <c r="Q4" s="73">
        <f t="shared" ref="Q4:Q15" si="7">P4*(9/5)+32</f>
        <v>37.10711389</v>
      </c>
      <c r="R4" s="73">
        <f t="shared" ref="R4:R15" si="8">Q4-N4</f>
        <v>0.4908504539</v>
      </c>
    </row>
    <row r="5">
      <c r="A5" s="77" t="s">
        <v>168</v>
      </c>
      <c r="B5" s="77">
        <v>70.0</v>
      </c>
      <c r="C5" s="5">
        <v>7.94</v>
      </c>
      <c r="D5" s="5">
        <v>21.81</v>
      </c>
      <c r="E5" s="5">
        <v>20.01</v>
      </c>
      <c r="F5" s="78"/>
      <c r="G5" s="1">
        <f t="shared" si="1"/>
        <v>0</v>
      </c>
      <c r="H5" s="1">
        <f t="shared" si="2"/>
        <v>119.76</v>
      </c>
      <c r="I5" s="1">
        <f t="shared" si="3"/>
        <v>119760</v>
      </c>
      <c r="J5" s="80">
        <v>100.0</v>
      </c>
      <c r="K5" s="73">
        <f t="shared" si="4"/>
        <v>6.309148265</v>
      </c>
      <c r="L5" s="5">
        <v>4.186</v>
      </c>
      <c r="N5" s="5">
        <v>37.00520833</v>
      </c>
      <c r="O5" s="73">
        <f t="shared" si="5"/>
        <v>2.780671294</v>
      </c>
      <c r="P5" s="73">
        <f t="shared" si="6"/>
        <v>3.066767807</v>
      </c>
      <c r="Q5" s="73">
        <f t="shared" si="7"/>
        <v>37.52018205</v>
      </c>
      <c r="R5" s="73">
        <f t="shared" si="8"/>
        <v>0.5149737219</v>
      </c>
    </row>
    <row r="6">
      <c r="A6" s="77" t="s">
        <v>169</v>
      </c>
      <c r="B6" s="77">
        <v>70.0</v>
      </c>
      <c r="C6" s="5">
        <v>7.91</v>
      </c>
      <c r="D6" s="5">
        <v>8.63</v>
      </c>
      <c r="E6" s="5">
        <v>17.65</v>
      </c>
      <c r="F6" s="78"/>
      <c r="G6" s="1">
        <f t="shared" si="1"/>
        <v>0</v>
      </c>
      <c r="H6" s="1">
        <f t="shared" si="2"/>
        <v>104.19</v>
      </c>
      <c r="I6" s="1">
        <f t="shared" si="3"/>
        <v>104190</v>
      </c>
      <c r="J6" s="80">
        <v>100.0</v>
      </c>
      <c r="K6" s="73">
        <f t="shared" si="4"/>
        <v>6.309148265</v>
      </c>
      <c r="L6" s="5">
        <v>4.186</v>
      </c>
      <c r="N6" s="5">
        <v>41.98924731</v>
      </c>
      <c r="O6" s="73">
        <f t="shared" si="5"/>
        <v>5.549581839</v>
      </c>
      <c r="P6" s="73">
        <f t="shared" si="6"/>
        <v>5.798482938</v>
      </c>
      <c r="Q6" s="73">
        <f t="shared" si="7"/>
        <v>42.43726929</v>
      </c>
      <c r="R6" s="73">
        <f t="shared" si="8"/>
        <v>0.448021978</v>
      </c>
    </row>
    <row r="7">
      <c r="A7" s="77" t="s">
        <v>170</v>
      </c>
      <c r="B7" s="77">
        <v>70.0</v>
      </c>
      <c r="C7" s="5">
        <v>7.32</v>
      </c>
      <c r="D7" s="5">
        <v>6.6</v>
      </c>
      <c r="E7" s="5">
        <v>15.44</v>
      </c>
      <c r="F7" s="77">
        <v>0.88</v>
      </c>
      <c r="G7" s="1">
        <f t="shared" si="1"/>
        <v>0</v>
      </c>
      <c r="H7" s="1">
        <f t="shared" si="2"/>
        <v>100.24</v>
      </c>
      <c r="I7" s="1">
        <f t="shared" si="3"/>
        <v>100240</v>
      </c>
      <c r="J7" s="80">
        <v>100.0</v>
      </c>
      <c r="K7" s="73">
        <f t="shared" si="4"/>
        <v>6.309148265</v>
      </c>
      <c r="L7" s="5">
        <v>4.186</v>
      </c>
      <c r="N7" s="5">
        <v>48.04513889</v>
      </c>
      <c r="O7" s="73">
        <f t="shared" si="5"/>
        <v>8.91396605</v>
      </c>
      <c r="P7" s="73">
        <f t="shared" si="6"/>
        <v>9.153430933</v>
      </c>
      <c r="Q7" s="73">
        <f t="shared" si="7"/>
        <v>48.47617568</v>
      </c>
      <c r="R7" s="73">
        <f t="shared" si="8"/>
        <v>0.4310367893</v>
      </c>
    </row>
    <row r="8">
      <c r="A8" s="77" t="s">
        <v>105</v>
      </c>
      <c r="B8" s="77">
        <v>70.0</v>
      </c>
      <c r="C8" s="5">
        <v>8.42</v>
      </c>
      <c r="D8" s="5">
        <v>0.8</v>
      </c>
      <c r="E8" s="5">
        <v>21.23</v>
      </c>
      <c r="F8" s="79">
        <v>3.26</v>
      </c>
      <c r="G8" s="1">
        <f t="shared" si="1"/>
        <v>0</v>
      </c>
      <c r="H8" s="1">
        <f t="shared" si="2"/>
        <v>103.71</v>
      </c>
      <c r="I8" s="1">
        <f t="shared" si="3"/>
        <v>103710</v>
      </c>
      <c r="J8" s="80">
        <v>100.0</v>
      </c>
      <c r="K8" s="73">
        <f t="shared" si="4"/>
        <v>6.309148265</v>
      </c>
      <c r="L8" s="5">
        <v>4.186</v>
      </c>
      <c r="N8" s="5">
        <v>53.79362416</v>
      </c>
      <c r="O8" s="73">
        <f t="shared" si="5"/>
        <v>12.10756898</v>
      </c>
      <c r="P8" s="73">
        <f t="shared" si="6"/>
        <v>12.3553234</v>
      </c>
      <c r="Q8" s="73">
        <f t="shared" si="7"/>
        <v>54.23958212</v>
      </c>
      <c r="R8" s="73">
        <f t="shared" si="8"/>
        <v>0.4459579551</v>
      </c>
    </row>
    <row r="9">
      <c r="A9" s="77" t="s">
        <v>171</v>
      </c>
      <c r="B9" s="77">
        <v>70.0</v>
      </c>
      <c r="C9" s="5">
        <v>4.64</v>
      </c>
      <c r="D9" s="5">
        <v>0.02</v>
      </c>
      <c r="E9" s="5">
        <v>12.15</v>
      </c>
      <c r="F9" s="79">
        <v>5.6</v>
      </c>
      <c r="G9" s="1">
        <f t="shared" si="1"/>
        <v>0</v>
      </c>
      <c r="H9" s="1">
        <f t="shared" si="2"/>
        <v>92.41</v>
      </c>
      <c r="I9" s="1">
        <f t="shared" si="3"/>
        <v>92410</v>
      </c>
      <c r="J9" s="80">
        <v>100.0</v>
      </c>
      <c r="K9" s="73">
        <f t="shared" si="4"/>
        <v>6.309148265</v>
      </c>
      <c r="L9" s="5">
        <v>4.186</v>
      </c>
      <c r="N9" s="5">
        <v>58.30902778</v>
      </c>
      <c r="O9" s="73">
        <f t="shared" si="5"/>
        <v>14.61612654</v>
      </c>
      <c r="P9" s="73">
        <f t="shared" si="6"/>
        <v>14.83688622</v>
      </c>
      <c r="Q9" s="73">
        <f t="shared" si="7"/>
        <v>58.7063952</v>
      </c>
      <c r="R9" s="73">
        <f t="shared" si="8"/>
        <v>0.3973674152</v>
      </c>
    </row>
    <row r="10">
      <c r="A10" s="77" t="s">
        <v>172</v>
      </c>
      <c r="B10" s="77">
        <v>70.0</v>
      </c>
      <c r="C10" s="5">
        <v>5.58</v>
      </c>
      <c r="D10" s="5">
        <v>0.01</v>
      </c>
      <c r="E10" s="5">
        <v>14.05</v>
      </c>
      <c r="F10" s="79">
        <v>9.05</v>
      </c>
      <c r="G10" s="1">
        <f t="shared" si="1"/>
        <v>0</v>
      </c>
      <c r="H10" s="1">
        <f t="shared" si="2"/>
        <v>98.69</v>
      </c>
      <c r="I10" s="1">
        <f t="shared" si="3"/>
        <v>98690</v>
      </c>
      <c r="J10" s="80">
        <v>100.0</v>
      </c>
      <c r="K10" s="73">
        <f t="shared" si="4"/>
        <v>6.309148265</v>
      </c>
      <c r="L10" s="5">
        <v>4.186</v>
      </c>
      <c r="N10" s="5">
        <v>59.08266129</v>
      </c>
      <c r="O10" s="73">
        <f t="shared" si="5"/>
        <v>15.04592294</v>
      </c>
      <c r="P10" s="73">
        <f t="shared" si="6"/>
        <v>15.281685</v>
      </c>
      <c r="Q10" s="73">
        <f t="shared" si="7"/>
        <v>59.50703301</v>
      </c>
      <c r="R10" s="73">
        <f t="shared" si="8"/>
        <v>0.4243717152</v>
      </c>
    </row>
    <row r="11">
      <c r="A11" s="77" t="s">
        <v>173</v>
      </c>
      <c r="B11" s="77">
        <v>70.0</v>
      </c>
      <c r="C11" s="5">
        <v>9.43</v>
      </c>
      <c r="D11" s="5">
        <v>0.01</v>
      </c>
      <c r="E11" s="5">
        <v>23.01</v>
      </c>
      <c r="F11" s="79">
        <v>13.14</v>
      </c>
      <c r="G11" s="1">
        <f t="shared" si="1"/>
        <v>0</v>
      </c>
      <c r="H11" s="1">
        <f t="shared" si="2"/>
        <v>115.59</v>
      </c>
      <c r="I11" s="1">
        <f t="shared" si="3"/>
        <v>115590</v>
      </c>
      <c r="J11" s="80">
        <v>100.0</v>
      </c>
      <c r="K11" s="73">
        <f t="shared" si="4"/>
        <v>6.309148265</v>
      </c>
      <c r="L11" s="5">
        <v>4.186</v>
      </c>
      <c r="N11" s="5">
        <v>58.47110215</v>
      </c>
      <c r="O11" s="73">
        <f t="shared" si="5"/>
        <v>14.70616786</v>
      </c>
      <c r="P11" s="73">
        <f t="shared" si="6"/>
        <v>14.9823026</v>
      </c>
      <c r="Q11" s="73">
        <f t="shared" si="7"/>
        <v>58.96814467</v>
      </c>
      <c r="R11" s="73">
        <f t="shared" si="8"/>
        <v>0.4970425227</v>
      </c>
    </row>
    <row r="12">
      <c r="A12" s="77" t="s">
        <v>174</v>
      </c>
      <c r="B12" s="77">
        <v>70.0</v>
      </c>
      <c r="C12" s="5">
        <v>5.96</v>
      </c>
      <c r="D12" s="5">
        <v>0.02</v>
      </c>
      <c r="E12" s="5">
        <v>14.87</v>
      </c>
      <c r="F12" s="79">
        <v>5.05</v>
      </c>
      <c r="G12" s="1">
        <f t="shared" si="1"/>
        <v>0</v>
      </c>
      <c r="H12" s="1">
        <f t="shared" si="2"/>
        <v>95.9</v>
      </c>
      <c r="I12" s="1">
        <f t="shared" si="3"/>
        <v>95900</v>
      </c>
      <c r="J12" s="80">
        <v>100.0</v>
      </c>
      <c r="K12" s="73">
        <f t="shared" si="4"/>
        <v>6.309148265</v>
      </c>
      <c r="L12" s="5">
        <v>4.186</v>
      </c>
      <c r="N12" s="5">
        <v>53.70486111</v>
      </c>
      <c r="O12" s="73">
        <f t="shared" si="5"/>
        <v>12.05825617</v>
      </c>
      <c r="P12" s="73">
        <f t="shared" si="6"/>
        <v>12.28735316</v>
      </c>
      <c r="Q12" s="73">
        <f t="shared" si="7"/>
        <v>54.11723569</v>
      </c>
      <c r="R12" s="73">
        <f t="shared" si="8"/>
        <v>0.4123745819</v>
      </c>
    </row>
    <row r="13">
      <c r="A13" s="77" t="s">
        <v>175</v>
      </c>
      <c r="B13" s="77">
        <v>70.0</v>
      </c>
      <c r="C13" s="5">
        <v>7.01</v>
      </c>
      <c r="D13" s="5">
        <v>2.6</v>
      </c>
      <c r="E13" s="5">
        <v>17.65</v>
      </c>
      <c r="F13" s="77">
        <v>1.19</v>
      </c>
      <c r="G13" s="1">
        <f t="shared" si="1"/>
        <v>0</v>
      </c>
      <c r="H13" s="1">
        <f t="shared" si="2"/>
        <v>98.45</v>
      </c>
      <c r="I13" s="1">
        <f t="shared" si="3"/>
        <v>98450</v>
      </c>
      <c r="J13" s="80">
        <v>100.0</v>
      </c>
      <c r="K13" s="73">
        <f t="shared" si="4"/>
        <v>6.309148265</v>
      </c>
      <c r="L13" s="5">
        <v>4.186</v>
      </c>
      <c r="N13" s="5">
        <v>49.62701613</v>
      </c>
      <c r="O13" s="73">
        <f t="shared" si="5"/>
        <v>9.792786739</v>
      </c>
      <c r="P13" s="73">
        <f t="shared" si="6"/>
        <v>10.02797546</v>
      </c>
      <c r="Q13" s="73">
        <f t="shared" si="7"/>
        <v>50.05035583</v>
      </c>
      <c r="R13" s="73">
        <f t="shared" si="8"/>
        <v>0.4233397038</v>
      </c>
    </row>
    <row r="14">
      <c r="A14" s="77" t="s">
        <v>176</v>
      </c>
      <c r="B14" s="77">
        <v>70.0</v>
      </c>
      <c r="C14" s="5">
        <v>6.38</v>
      </c>
      <c r="D14" s="5">
        <v>11.18</v>
      </c>
      <c r="E14" s="5">
        <v>21.12</v>
      </c>
      <c r="F14" s="78"/>
      <c r="G14" s="1">
        <f t="shared" si="1"/>
        <v>0</v>
      </c>
      <c r="H14" s="1">
        <f t="shared" si="2"/>
        <v>108.68</v>
      </c>
      <c r="I14" s="1">
        <f t="shared" si="3"/>
        <v>108680</v>
      </c>
      <c r="J14" s="80">
        <v>100.0</v>
      </c>
      <c r="K14" s="73">
        <f t="shared" si="4"/>
        <v>6.309148265</v>
      </c>
      <c r="L14" s="5">
        <v>4.186</v>
      </c>
      <c r="N14" s="5">
        <v>44.93402778</v>
      </c>
      <c r="O14" s="73">
        <f t="shared" si="5"/>
        <v>7.185570989</v>
      </c>
      <c r="P14" s="73">
        <f t="shared" si="6"/>
        <v>7.445198318</v>
      </c>
      <c r="Q14" s="73">
        <f t="shared" si="7"/>
        <v>45.40135697</v>
      </c>
      <c r="R14" s="73">
        <f t="shared" si="8"/>
        <v>0.4673291925</v>
      </c>
    </row>
    <row r="15">
      <c r="A15" s="77" t="s">
        <v>177</v>
      </c>
      <c r="B15" s="77">
        <v>70.0</v>
      </c>
      <c r="C15" s="5">
        <v>4.53</v>
      </c>
      <c r="D15" s="5">
        <v>8.46</v>
      </c>
      <c r="E15" s="5">
        <v>11.4</v>
      </c>
      <c r="F15" s="78"/>
      <c r="G15" s="1">
        <f t="shared" si="1"/>
        <v>0</v>
      </c>
      <c r="H15" s="1">
        <f t="shared" si="2"/>
        <v>94.39</v>
      </c>
      <c r="I15" s="1">
        <f t="shared" si="3"/>
        <v>94390</v>
      </c>
      <c r="J15" s="80">
        <v>100.0</v>
      </c>
      <c r="K15" s="73">
        <f t="shared" si="4"/>
        <v>6.309148265</v>
      </c>
      <c r="L15" s="5">
        <v>4.186</v>
      </c>
      <c r="N15" s="5">
        <v>39.06586022</v>
      </c>
      <c r="O15" s="73">
        <f t="shared" si="5"/>
        <v>3.9254779</v>
      </c>
      <c r="P15" s="73">
        <f t="shared" si="6"/>
        <v>4.150967628</v>
      </c>
      <c r="Q15" s="73">
        <f t="shared" si="7"/>
        <v>39.47174173</v>
      </c>
      <c r="R15" s="73">
        <f t="shared" si="8"/>
        <v>0.4058815098</v>
      </c>
    </row>
    <row r="18">
      <c r="A18" s="5" t="s">
        <v>184</v>
      </c>
    </row>
    <row r="19">
      <c r="B19" s="5" t="s">
        <v>185</v>
      </c>
      <c r="C19" s="5" t="s">
        <v>180</v>
      </c>
      <c r="D19" s="5" t="s">
        <v>181</v>
      </c>
      <c r="E19" s="5" t="s">
        <v>125</v>
      </c>
      <c r="F19" s="5" t="s">
        <v>113</v>
      </c>
      <c r="G19" s="5" t="s">
        <v>182</v>
      </c>
    </row>
    <row r="20">
      <c r="A20" s="5" t="s">
        <v>186</v>
      </c>
      <c r="B20" s="5"/>
      <c r="C20" s="5"/>
      <c r="D20" s="5"/>
      <c r="E20" s="5" t="s">
        <v>160</v>
      </c>
      <c r="F20" s="5" t="s">
        <v>160</v>
      </c>
      <c r="G20" s="5" t="s">
        <v>160</v>
      </c>
      <c r="H20" s="5" t="s">
        <v>183</v>
      </c>
      <c r="I20" s="5" t="s">
        <v>148</v>
      </c>
      <c r="J20" s="5" t="s">
        <v>149</v>
      </c>
      <c r="K20" s="5" t="s">
        <v>150</v>
      </c>
      <c r="L20" s="80" t="s">
        <v>151</v>
      </c>
      <c r="N20" s="5" t="s">
        <v>152</v>
      </c>
      <c r="O20" s="80" t="s">
        <v>153</v>
      </c>
      <c r="P20" s="80" t="s">
        <v>154</v>
      </c>
      <c r="Q20" s="5" t="s">
        <v>155</v>
      </c>
      <c r="R20" s="5" t="s">
        <v>156</v>
      </c>
    </row>
    <row r="21">
      <c r="A21" s="77" t="s">
        <v>167</v>
      </c>
      <c r="B21" s="81">
        <v>7.8732</v>
      </c>
      <c r="C21" s="5">
        <v>7.61</v>
      </c>
      <c r="D21" s="5">
        <v>18.89</v>
      </c>
      <c r="E21" s="5">
        <v>17.65</v>
      </c>
      <c r="F21" s="78"/>
      <c r="G21" s="1">
        <v>-334.43901999999997</v>
      </c>
      <c r="H21" s="1">
        <f t="shared" ref="H21:H32" si="9">sum(B21:G21)</f>
        <v>-282.41582</v>
      </c>
      <c r="I21" s="1">
        <f t="shared" ref="I21:I32" si="10">H21*1000</f>
        <v>-282415.82</v>
      </c>
      <c r="J21" s="80">
        <v>100.0</v>
      </c>
      <c r="K21" s="73">
        <f t="shared" ref="K21:K32" si="11">J21/15.85</f>
        <v>6.309148265</v>
      </c>
      <c r="L21" s="5">
        <v>4.186</v>
      </c>
      <c r="N21" s="5">
        <v>41.61626344</v>
      </c>
      <c r="O21" s="73">
        <f t="shared" ref="O21:O32" si="12">(N21-32)*(5/9)</f>
        <v>5.342368578</v>
      </c>
      <c r="P21" s="73">
        <f t="shared" ref="P21:P26" si="13">O21+(H21/(J21*L21))</f>
        <v>4.667701067</v>
      </c>
      <c r="Q21" s="73">
        <f t="shared" ref="Q21:Q32" si="14">P21*(9/5)+32</f>
        <v>40.40186192</v>
      </c>
      <c r="R21" s="73">
        <f t="shared" ref="R21:R32" si="15">Q21-N21</f>
        <v>-1.214401519</v>
      </c>
      <c r="S21" s="1">
        <f>N21-N32</f>
        <v>-2.44959678</v>
      </c>
    </row>
    <row r="22">
      <c r="A22" s="77" t="s">
        <v>168</v>
      </c>
      <c r="B22" s="81">
        <v>7.8732</v>
      </c>
      <c r="C22" s="5">
        <v>7.94</v>
      </c>
      <c r="D22" s="5">
        <v>21.81</v>
      </c>
      <c r="E22" s="5">
        <v>20.01</v>
      </c>
      <c r="F22" s="78"/>
      <c r="G22" s="1">
        <v>-336.68942000000004</v>
      </c>
      <c r="H22" s="1">
        <f t="shared" si="9"/>
        <v>-279.05622</v>
      </c>
      <c r="I22" s="1">
        <f t="shared" si="10"/>
        <v>-279056.22</v>
      </c>
      <c r="J22" s="80">
        <v>100.0</v>
      </c>
      <c r="K22" s="73">
        <f t="shared" si="11"/>
        <v>6.309148265</v>
      </c>
      <c r="L22" s="5">
        <v>4.186</v>
      </c>
      <c r="N22" s="5">
        <v>42.00520833</v>
      </c>
      <c r="O22" s="73">
        <f t="shared" si="12"/>
        <v>5.558449072</v>
      </c>
      <c r="P22" s="73">
        <f t="shared" si="13"/>
        <v>4.891807362</v>
      </c>
      <c r="Q22" s="73">
        <f t="shared" si="14"/>
        <v>40.80525325</v>
      </c>
      <c r="R22" s="73">
        <f t="shared" si="15"/>
        <v>-1.199955079</v>
      </c>
      <c r="S22" s="1">
        <f t="shared" ref="S22:S32" si="16">N22-N21</f>
        <v>0.38894489</v>
      </c>
    </row>
    <row r="23">
      <c r="A23" s="77" t="s">
        <v>169</v>
      </c>
      <c r="B23" s="81">
        <v>7.8732</v>
      </c>
      <c r="C23" s="5">
        <v>7.91</v>
      </c>
      <c r="D23" s="5">
        <v>8.63</v>
      </c>
      <c r="E23" s="5">
        <v>17.65</v>
      </c>
      <c r="F23" s="78"/>
      <c r="G23" s="1">
        <v>-265.16672</v>
      </c>
      <c r="H23" s="1">
        <f t="shared" si="9"/>
        <v>-223.10352</v>
      </c>
      <c r="I23" s="1">
        <f t="shared" si="10"/>
        <v>-223103.52</v>
      </c>
      <c r="J23" s="80">
        <v>100.0</v>
      </c>
      <c r="K23" s="73">
        <f t="shared" si="11"/>
        <v>6.309148265</v>
      </c>
      <c r="L23" s="5">
        <v>4.186</v>
      </c>
      <c r="N23" s="5">
        <v>46.98924731</v>
      </c>
      <c r="O23" s="73">
        <f t="shared" si="12"/>
        <v>8.327359617</v>
      </c>
      <c r="P23" s="73">
        <f t="shared" si="13"/>
        <v>7.794384175</v>
      </c>
      <c r="Q23" s="73">
        <f t="shared" si="14"/>
        <v>46.02989151</v>
      </c>
      <c r="R23" s="73">
        <f t="shared" si="15"/>
        <v>-0.9593557955</v>
      </c>
      <c r="S23" s="1">
        <f t="shared" si="16"/>
        <v>4.98403898</v>
      </c>
    </row>
    <row r="24">
      <c r="A24" s="77" t="s">
        <v>170</v>
      </c>
      <c r="B24" s="81">
        <v>7.8732</v>
      </c>
      <c r="C24" s="5">
        <v>7.32</v>
      </c>
      <c r="D24" s="5">
        <v>6.6</v>
      </c>
      <c r="E24" s="5">
        <v>15.44</v>
      </c>
      <c r="F24" s="77">
        <v>0.88</v>
      </c>
      <c r="G24" s="1">
        <v>-322.27468</v>
      </c>
      <c r="H24" s="1">
        <f t="shared" si="9"/>
        <v>-284.16148</v>
      </c>
      <c r="I24" s="1">
        <f t="shared" si="10"/>
        <v>-284161.48</v>
      </c>
      <c r="J24" s="80">
        <v>100.0</v>
      </c>
      <c r="K24" s="73">
        <f t="shared" si="11"/>
        <v>6.309148265</v>
      </c>
      <c r="L24" s="5">
        <v>4.186</v>
      </c>
      <c r="N24" s="5">
        <v>53.04513889</v>
      </c>
      <c r="O24" s="73">
        <f t="shared" si="12"/>
        <v>11.69174383</v>
      </c>
      <c r="P24" s="73">
        <f t="shared" si="13"/>
        <v>11.01290608</v>
      </c>
      <c r="Q24" s="73">
        <f t="shared" si="14"/>
        <v>51.82323095</v>
      </c>
      <c r="R24" s="73">
        <f t="shared" si="15"/>
        <v>-1.221907941</v>
      </c>
      <c r="S24" s="1">
        <f t="shared" si="16"/>
        <v>6.05589158</v>
      </c>
    </row>
    <row r="25">
      <c r="A25" s="77" t="s">
        <v>105</v>
      </c>
      <c r="B25" s="81">
        <v>7.8732</v>
      </c>
      <c r="C25" s="5">
        <v>8.42</v>
      </c>
      <c r="D25" s="5">
        <v>0.8</v>
      </c>
      <c r="E25" s="5">
        <v>21.23</v>
      </c>
      <c r="F25" s="79">
        <v>3.26</v>
      </c>
      <c r="G25" s="1">
        <v>-130.7465</v>
      </c>
      <c r="H25" s="1">
        <f t="shared" si="9"/>
        <v>-89.1633</v>
      </c>
      <c r="I25" s="1">
        <f t="shared" si="10"/>
        <v>-89163.3</v>
      </c>
      <c r="J25" s="80">
        <v>100.0</v>
      </c>
      <c r="K25" s="73">
        <f t="shared" si="11"/>
        <v>6.309148265</v>
      </c>
      <c r="L25" s="5">
        <v>4.186</v>
      </c>
      <c r="N25" s="5">
        <v>58.79362416</v>
      </c>
      <c r="O25" s="73">
        <f t="shared" si="12"/>
        <v>14.88534676</v>
      </c>
      <c r="P25" s="73">
        <f t="shared" si="13"/>
        <v>14.67234317</v>
      </c>
      <c r="Q25" s="73">
        <f t="shared" si="14"/>
        <v>58.41021771</v>
      </c>
      <c r="R25" s="73">
        <f t="shared" si="15"/>
        <v>-0.3834064501</v>
      </c>
      <c r="S25" s="1">
        <f t="shared" si="16"/>
        <v>5.74848527</v>
      </c>
    </row>
    <row r="26">
      <c r="A26" s="77" t="s">
        <v>171</v>
      </c>
      <c r="B26" s="81">
        <v>7.8732</v>
      </c>
      <c r="C26" s="5">
        <v>4.64</v>
      </c>
      <c r="D26" s="5">
        <v>0.02</v>
      </c>
      <c r="E26" s="5">
        <v>12.15</v>
      </c>
      <c r="F26" s="79">
        <v>5.6</v>
      </c>
      <c r="G26" s="1">
        <v>-85.99834</v>
      </c>
      <c r="H26" s="1">
        <f t="shared" si="9"/>
        <v>-55.71514</v>
      </c>
      <c r="I26" s="1">
        <f t="shared" si="10"/>
        <v>-55715.14</v>
      </c>
      <c r="J26" s="80">
        <v>100.0</v>
      </c>
      <c r="K26" s="73">
        <f t="shared" si="11"/>
        <v>6.309148265</v>
      </c>
      <c r="L26" s="5">
        <v>4.186</v>
      </c>
      <c r="N26" s="5">
        <v>63.30902778</v>
      </c>
      <c r="O26" s="73">
        <f t="shared" si="12"/>
        <v>17.39390432</v>
      </c>
      <c r="P26" s="73">
        <f t="shared" si="13"/>
        <v>17.26080556</v>
      </c>
      <c r="Q26" s="73">
        <f t="shared" si="14"/>
        <v>63.06945002</v>
      </c>
      <c r="R26" s="73">
        <f t="shared" si="15"/>
        <v>-0.239577764</v>
      </c>
      <c r="S26" s="1">
        <f t="shared" si="16"/>
        <v>4.51540362</v>
      </c>
    </row>
    <row r="27">
      <c r="A27" s="77" t="s">
        <v>172</v>
      </c>
      <c r="B27" s="81">
        <v>7.8732</v>
      </c>
      <c r="C27" s="5">
        <v>5.58</v>
      </c>
      <c r="D27" s="5">
        <v>0.01</v>
      </c>
      <c r="E27" s="5">
        <v>14.05</v>
      </c>
      <c r="F27" s="79">
        <v>9.05</v>
      </c>
      <c r="G27" s="1">
        <v>-33.225880000000004</v>
      </c>
      <c r="H27" s="1">
        <f t="shared" si="9"/>
        <v>3.33732</v>
      </c>
      <c r="I27" s="1">
        <f t="shared" si="10"/>
        <v>3337.32</v>
      </c>
      <c r="J27" s="80">
        <v>100.0</v>
      </c>
      <c r="K27" s="73">
        <f t="shared" si="11"/>
        <v>6.309148265</v>
      </c>
      <c r="L27" s="5">
        <v>4.186</v>
      </c>
      <c r="N27" s="5">
        <v>64.08266129</v>
      </c>
      <c r="O27" s="73">
        <f t="shared" si="12"/>
        <v>17.82370072</v>
      </c>
      <c r="P27" s="73">
        <f>O27+(G27/(J27*L27))</f>
        <v>17.7443269</v>
      </c>
      <c r="Q27" s="73">
        <f t="shared" si="14"/>
        <v>63.93978842</v>
      </c>
      <c r="R27" s="73">
        <f t="shared" si="15"/>
        <v>-0.1428728715</v>
      </c>
      <c r="S27" s="1">
        <f t="shared" si="16"/>
        <v>0.77363351</v>
      </c>
    </row>
    <row r="28">
      <c r="A28" s="77" t="s">
        <v>173</v>
      </c>
      <c r="B28" s="81">
        <v>7.8732</v>
      </c>
      <c r="C28" s="5">
        <v>9.43</v>
      </c>
      <c r="D28" s="5">
        <v>0.01</v>
      </c>
      <c r="E28" s="5">
        <v>23.01</v>
      </c>
      <c r="F28" s="79">
        <v>13.14</v>
      </c>
      <c r="G28" s="1">
        <v>-21.85556</v>
      </c>
      <c r="H28" s="1">
        <f t="shared" si="9"/>
        <v>31.60764</v>
      </c>
      <c r="I28" s="1">
        <f t="shared" si="10"/>
        <v>31607.64</v>
      </c>
      <c r="J28" s="80">
        <v>100.0</v>
      </c>
      <c r="K28" s="73">
        <f t="shared" si="11"/>
        <v>6.309148265</v>
      </c>
      <c r="L28" s="5">
        <v>4.186</v>
      </c>
      <c r="N28" s="5">
        <v>63.47110215</v>
      </c>
      <c r="O28" s="73">
        <f t="shared" si="12"/>
        <v>17.48394564</v>
      </c>
      <c r="P28" s="73">
        <f t="shared" ref="P28:P32" si="17">O28+(H28/(J28*L28))</f>
        <v>17.55945362</v>
      </c>
      <c r="Q28" s="73">
        <f t="shared" si="14"/>
        <v>63.60701651</v>
      </c>
      <c r="R28" s="73">
        <f t="shared" si="15"/>
        <v>0.1359143622</v>
      </c>
      <c r="S28" s="1">
        <f t="shared" si="16"/>
        <v>-0.61155914</v>
      </c>
    </row>
    <row r="29">
      <c r="A29" s="77" t="s">
        <v>174</v>
      </c>
      <c r="B29" s="81">
        <v>7.8732</v>
      </c>
      <c r="C29" s="5">
        <v>5.96</v>
      </c>
      <c r="D29" s="5">
        <v>0.02</v>
      </c>
      <c r="E29" s="5">
        <v>14.87</v>
      </c>
      <c r="F29" s="79">
        <v>5.05</v>
      </c>
      <c r="G29" s="1">
        <v>-49.22924</v>
      </c>
      <c r="H29" s="1">
        <f t="shared" si="9"/>
        <v>-15.45604</v>
      </c>
      <c r="I29" s="1">
        <f t="shared" si="10"/>
        <v>-15456.04</v>
      </c>
      <c r="J29" s="80">
        <v>100.0</v>
      </c>
      <c r="K29" s="73">
        <f t="shared" si="11"/>
        <v>6.309148265</v>
      </c>
      <c r="L29" s="5">
        <v>4.186</v>
      </c>
      <c r="N29" s="5">
        <v>58.70486111</v>
      </c>
      <c r="O29" s="73">
        <f t="shared" si="12"/>
        <v>14.83603395</v>
      </c>
      <c r="P29" s="73">
        <f t="shared" si="17"/>
        <v>14.79911078</v>
      </c>
      <c r="Q29" s="73">
        <f t="shared" si="14"/>
        <v>58.6383994</v>
      </c>
      <c r="R29" s="73">
        <f t="shared" si="15"/>
        <v>-0.06646171046</v>
      </c>
      <c r="S29" s="1">
        <f t="shared" si="16"/>
        <v>-4.76624104</v>
      </c>
    </row>
    <row r="30">
      <c r="A30" s="77" t="s">
        <v>175</v>
      </c>
      <c r="B30" s="81">
        <v>7.8732</v>
      </c>
      <c r="C30" s="5">
        <v>7.01</v>
      </c>
      <c r="D30" s="5">
        <v>2.6</v>
      </c>
      <c r="E30" s="5">
        <v>17.65</v>
      </c>
      <c r="F30" s="77">
        <v>1.19</v>
      </c>
      <c r="G30" s="1">
        <v>-77.79424</v>
      </c>
      <c r="H30" s="1">
        <f t="shared" si="9"/>
        <v>-41.47104</v>
      </c>
      <c r="I30" s="1">
        <f t="shared" si="10"/>
        <v>-41471.04</v>
      </c>
      <c r="J30" s="80">
        <v>100.0</v>
      </c>
      <c r="K30" s="73">
        <f t="shared" si="11"/>
        <v>6.309148265</v>
      </c>
      <c r="L30" s="5">
        <v>4.186</v>
      </c>
      <c r="N30" s="5">
        <v>54.62701613</v>
      </c>
      <c r="O30" s="73">
        <f t="shared" si="12"/>
        <v>12.57056452</v>
      </c>
      <c r="P30" s="73">
        <f t="shared" si="17"/>
        <v>12.47149371</v>
      </c>
      <c r="Q30" s="73">
        <f t="shared" si="14"/>
        <v>54.44868868</v>
      </c>
      <c r="R30" s="73">
        <f t="shared" si="15"/>
        <v>-0.1783274534</v>
      </c>
      <c r="S30" s="1">
        <f t="shared" si="16"/>
        <v>-4.07784498</v>
      </c>
    </row>
    <row r="31">
      <c r="A31" s="77" t="s">
        <v>176</v>
      </c>
      <c r="B31" s="81">
        <v>7.8732</v>
      </c>
      <c r="C31" s="5">
        <v>6.38</v>
      </c>
      <c r="D31" s="5">
        <v>11.18</v>
      </c>
      <c r="E31" s="5">
        <v>21.12</v>
      </c>
      <c r="F31" s="78"/>
      <c r="G31" s="1">
        <v>-107.02044000000001</v>
      </c>
      <c r="H31" s="1">
        <f t="shared" si="9"/>
        <v>-60.46724</v>
      </c>
      <c r="I31" s="1">
        <f t="shared" si="10"/>
        <v>-60467.24</v>
      </c>
      <c r="J31" s="80">
        <v>100.0</v>
      </c>
      <c r="K31" s="73">
        <f t="shared" si="11"/>
        <v>6.309148265</v>
      </c>
      <c r="L31" s="5">
        <v>4.186</v>
      </c>
      <c r="N31" s="5">
        <v>49.93402778</v>
      </c>
      <c r="O31" s="73">
        <f t="shared" si="12"/>
        <v>9.963348767</v>
      </c>
      <c r="P31" s="73">
        <f t="shared" si="17"/>
        <v>9.818897644</v>
      </c>
      <c r="Q31" s="73">
        <f t="shared" si="14"/>
        <v>49.67401576</v>
      </c>
      <c r="R31" s="73">
        <f t="shared" si="15"/>
        <v>-0.260012021</v>
      </c>
      <c r="S31" s="1">
        <f t="shared" si="16"/>
        <v>-4.69298835</v>
      </c>
    </row>
    <row r="32">
      <c r="A32" s="77" t="s">
        <v>177</v>
      </c>
      <c r="B32" s="81">
        <v>7.8732</v>
      </c>
      <c r="C32" s="5">
        <v>4.53</v>
      </c>
      <c r="D32" s="5">
        <v>8.46</v>
      </c>
      <c r="E32" s="5">
        <v>11.4</v>
      </c>
      <c r="F32" s="78"/>
      <c r="G32" s="1">
        <v>-230.59872000000001</v>
      </c>
      <c r="H32" s="1">
        <f t="shared" si="9"/>
        <v>-198.33552</v>
      </c>
      <c r="I32" s="1">
        <f t="shared" si="10"/>
        <v>-198335.52</v>
      </c>
      <c r="J32" s="80">
        <v>100.0</v>
      </c>
      <c r="K32" s="73">
        <f t="shared" si="11"/>
        <v>6.309148265</v>
      </c>
      <c r="L32" s="5">
        <v>4.186</v>
      </c>
      <c r="N32" s="5">
        <v>44.06586022</v>
      </c>
      <c r="O32" s="73">
        <f t="shared" si="12"/>
        <v>6.703255678</v>
      </c>
      <c r="P32" s="73">
        <f t="shared" si="17"/>
        <v>6.229448893</v>
      </c>
      <c r="Q32" s="73">
        <f t="shared" si="14"/>
        <v>43.21300801</v>
      </c>
      <c r="R32" s="73">
        <f t="shared" si="15"/>
        <v>-0.8528522121</v>
      </c>
      <c r="S32" s="1">
        <f t="shared" si="16"/>
        <v>-5.86816756</v>
      </c>
    </row>
    <row r="58">
      <c r="A58" s="72" t="s">
        <v>187</v>
      </c>
    </row>
    <row r="60">
      <c r="B60" s="82"/>
      <c r="C60" s="82"/>
      <c r="D60" s="82"/>
      <c r="E60" s="82"/>
      <c r="F60" s="82"/>
    </row>
    <row r="61">
      <c r="A61" s="83"/>
    </row>
  </sheetData>
  <hyperlinks>
    <hyperlink r:id="rId1" ref="A58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8" max="18" width="16.5"/>
  </cols>
  <sheetData>
    <row r="1">
      <c r="A1" s="84"/>
      <c r="B1" s="78"/>
      <c r="C1" s="78"/>
      <c r="D1" s="78"/>
      <c r="E1" s="77" t="s">
        <v>188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84"/>
      <c r="Y1" s="84"/>
      <c r="Z1" s="84"/>
    </row>
    <row r="2">
      <c r="A2" s="84"/>
      <c r="B2" s="78"/>
      <c r="C2" s="78"/>
      <c r="D2" s="84"/>
      <c r="E2" s="77">
        <v>1.0</v>
      </c>
      <c r="F2" s="77">
        <v>2.0</v>
      </c>
      <c r="G2" s="77">
        <v>3.0</v>
      </c>
      <c r="H2" s="77">
        <v>4.0</v>
      </c>
      <c r="I2" s="77">
        <v>5.0</v>
      </c>
      <c r="J2" s="77">
        <v>6.0</v>
      </c>
      <c r="K2" s="77">
        <v>7.0</v>
      </c>
      <c r="L2" s="77">
        <v>8.0</v>
      </c>
      <c r="M2" s="77">
        <v>9.0</v>
      </c>
      <c r="N2" s="77">
        <v>10.0</v>
      </c>
      <c r="O2" s="77">
        <v>11.0</v>
      </c>
      <c r="P2" s="77">
        <v>12.0</v>
      </c>
      <c r="Q2" s="78"/>
      <c r="R2" s="78"/>
      <c r="S2" s="78"/>
      <c r="T2" s="78"/>
      <c r="U2" s="78"/>
      <c r="V2" s="78"/>
      <c r="W2" s="78"/>
      <c r="X2" s="84"/>
      <c r="Y2" s="84"/>
      <c r="Z2" s="84"/>
    </row>
    <row r="3">
      <c r="A3" s="84"/>
      <c r="B3" s="77"/>
      <c r="C3" s="77"/>
      <c r="E3" s="77" t="s">
        <v>167</v>
      </c>
      <c r="F3" s="77" t="s">
        <v>168</v>
      </c>
      <c r="G3" s="77" t="s">
        <v>169</v>
      </c>
      <c r="H3" s="77" t="s">
        <v>170</v>
      </c>
      <c r="I3" s="77" t="s">
        <v>105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176</v>
      </c>
      <c r="P3" s="77" t="s">
        <v>177</v>
      </c>
      <c r="Q3" s="77" t="s">
        <v>13</v>
      </c>
      <c r="R3" s="77" t="s">
        <v>189</v>
      </c>
      <c r="S3" s="77" t="s">
        <v>190</v>
      </c>
      <c r="T3" s="77" t="s">
        <v>191</v>
      </c>
      <c r="U3" s="77" t="s">
        <v>192</v>
      </c>
      <c r="V3" s="77" t="s">
        <v>193</v>
      </c>
      <c r="W3" s="77" t="s">
        <v>194</v>
      </c>
      <c r="X3" s="84"/>
      <c r="Y3" s="84"/>
      <c r="Z3" s="84"/>
    </row>
    <row r="4">
      <c r="A4" s="84"/>
      <c r="B4" s="85"/>
      <c r="C4" s="78"/>
      <c r="D4" s="5" t="s">
        <v>195</v>
      </c>
      <c r="E4" s="5">
        <v>45.0</v>
      </c>
      <c r="F4" s="5">
        <v>48.0</v>
      </c>
      <c r="G4" s="5">
        <v>50.0</v>
      </c>
      <c r="H4" s="5">
        <v>54.0</v>
      </c>
      <c r="I4" s="5">
        <v>58.0</v>
      </c>
      <c r="J4" s="5">
        <v>66.0</v>
      </c>
      <c r="K4" s="5">
        <v>72.0</v>
      </c>
      <c r="L4" s="5">
        <v>76.0</v>
      </c>
      <c r="M4" s="5">
        <v>70.0</v>
      </c>
      <c r="N4" s="5">
        <v>62.0</v>
      </c>
      <c r="O4" s="5">
        <v>54.0</v>
      </c>
      <c r="P4" s="5">
        <v>53.0</v>
      </c>
      <c r="Q4" s="78"/>
      <c r="R4" s="78"/>
      <c r="S4" s="78"/>
      <c r="T4" s="78"/>
      <c r="U4" s="78"/>
      <c r="V4" s="78"/>
      <c r="W4" s="78"/>
      <c r="X4" s="84"/>
      <c r="Y4" s="84"/>
      <c r="Z4" s="84"/>
    </row>
    <row r="5">
      <c r="A5" s="86"/>
      <c r="C5" s="87"/>
      <c r="D5" s="88" t="s">
        <v>196</v>
      </c>
      <c r="E5" s="78"/>
      <c r="F5" s="78"/>
      <c r="G5" s="78"/>
      <c r="H5" s="89">
        <v>0.88</v>
      </c>
      <c r="I5" s="89">
        <v>3.26</v>
      </c>
      <c r="J5" s="89">
        <v>5.6</v>
      </c>
      <c r="K5" s="89">
        <v>9.05</v>
      </c>
      <c r="L5" s="89">
        <v>13.14</v>
      </c>
      <c r="M5" s="89">
        <v>5.05</v>
      </c>
      <c r="N5" s="89">
        <v>1.19</v>
      </c>
      <c r="O5" s="78"/>
      <c r="P5" s="78"/>
      <c r="Q5" s="78"/>
      <c r="R5" s="78"/>
      <c r="S5" s="78"/>
      <c r="T5" s="78"/>
      <c r="U5" s="78"/>
      <c r="V5" s="78"/>
      <c r="W5" s="78"/>
      <c r="X5" s="84"/>
      <c r="Y5" s="84"/>
      <c r="Z5" s="84"/>
    </row>
    <row r="6">
      <c r="A6" s="86"/>
      <c r="B6" s="90">
        <v>90.0</v>
      </c>
      <c r="C6" s="90">
        <v>95.0</v>
      </c>
      <c r="D6" s="77"/>
      <c r="E6" s="77">
        <v>0.0</v>
      </c>
      <c r="F6" s="77">
        <v>0.0</v>
      </c>
      <c r="G6" s="77">
        <v>0.0</v>
      </c>
      <c r="H6" s="77">
        <v>0.0</v>
      </c>
      <c r="I6" s="77">
        <v>1.0</v>
      </c>
      <c r="J6" s="77">
        <v>0.0</v>
      </c>
      <c r="K6" s="77">
        <v>1.0</v>
      </c>
      <c r="L6" s="77">
        <v>2.0</v>
      </c>
      <c r="M6" s="77">
        <v>0.0</v>
      </c>
      <c r="N6" s="77">
        <v>0.0</v>
      </c>
      <c r="O6" s="77">
        <v>0.0</v>
      </c>
      <c r="P6" s="77">
        <v>0.0</v>
      </c>
      <c r="Q6" s="77">
        <v>4.0</v>
      </c>
      <c r="R6" s="77">
        <v>0.0</v>
      </c>
      <c r="S6" s="77">
        <v>0.0</v>
      </c>
      <c r="T6" s="91">
        <v>69.98</v>
      </c>
      <c r="U6" s="91">
        <v>48.667</v>
      </c>
      <c r="V6" s="91">
        <v>75.905</v>
      </c>
      <c r="W6" s="91">
        <v>40.504</v>
      </c>
      <c r="X6" s="84"/>
      <c r="Y6" s="84"/>
      <c r="Z6" s="84"/>
    </row>
    <row r="7">
      <c r="A7" s="86"/>
      <c r="B7" s="90">
        <v>85.0</v>
      </c>
      <c r="C7" s="90">
        <v>90.0</v>
      </c>
      <c r="D7" s="77"/>
      <c r="E7" s="77">
        <v>0.0</v>
      </c>
      <c r="F7" s="77">
        <v>0.0</v>
      </c>
      <c r="G7" s="77">
        <v>0.0</v>
      </c>
      <c r="H7" s="77">
        <v>0.0</v>
      </c>
      <c r="I7" s="77">
        <v>1.0</v>
      </c>
      <c r="J7" s="77">
        <v>24.0</v>
      </c>
      <c r="K7" s="77">
        <v>13.0</v>
      </c>
      <c r="L7" s="77">
        <v>7.0</v>
      </c>
      <c r="M7" s="77">
        <v>0.0</v>
      </c>
      <c r="N7" s="77">
        <v>0.0</v>
      </c>
      <c r="O7" s="77">
        <v>0.0</v>
      </c>
      <c r="P7" s="77">
        <v>0.0</v>
      </c>
      <c r="Q7" s="77">
        <v>45.0</v>
      </c>
      <c r="R7" s="77">
        <v>0.0</v>
      </c>
      <c r="S7" s="77">
        <v>0.0</v>
      </c>
      <c r="T7" s="91">
        <v>67.64</v>
      </c>
      <c r="U7" s="91">
        <v>52.578</v>
      </c>
      <c r="V7" s="91">
        <v>73.3</v>
      </c>
      <c r="W7" s="91">
        <v>37.94</v>
      </c>
      <c r="X7" s="84"/>
      <c r="Y7" s="84"/>
      <c r="Z7" s="84"/>
    </row>
    <row r="8">
      <c r="A8" s="86"/>
      <c r="B8" s="90">
        <v>80.0</v>
      </c>
      <c r="C8" s="90">
        <v>85.0</v>
      </c>
      <c r="D8" s="77"/>
      <c r="E8" s="77">
        <v>0.0</v>
      </c>
      <c r="F8" s="77">
        <v>0.0</v>
      </c>
      <c r="G8" s="77">
        <v>0.0</v>
      </c>
      <c r="H8" s="77">
        <v>0.0</v>
      </c>
      <c r="I8" s="77">
        <v>11.0</v>
      </c>
      <c r="J8" s="77">
        <v>46.0</v>
      </c>
      <c r="K8" s="77">
        <v>74.0</v>
      </c>
      <c r="L8" s="77">
        <v>41.0</v>
      </c>
      <c r="M8" s="77">
        <v>0.0</v>
      </c>
      <c r="N8" s="77">
        <v>0.0</v>
      </c>
      <c r="O8" s="77">
        <v>0.0</v>
      </c>
      <c r="P8" s="77">
        <v>0.0</v>
      </c>
      <c r="Q8" s="77">
        <v>172.0</v>
      </c>
      <c r="R8" s="77">
        <v>0.0</v>
      </c>
      <c r="S8" s="77">
        <v>0.0</v>
      </c>
      <c r="T8" s="91">
        <v>63.204</v>
      </c>
      <c r="U8" s="91">
        <v>54.017</v>
      </c>
      <c r="V8" s="91">
        <v>69.275</v>
      </c>
      <c r="W8" s="91">
        <v>34.404</v>
      </c>
      <c r="X8" s="84"/>
      <c r="Y8" s="84"/>
      <c r="Z8" s="84"/>
    </row>
    <row r="9">
      <c r="A9" s="86"/>
      <c r="B9" s="90">
        <v>75.0</v>
      </c>
      <c r="C9" s="90">
        <v>80.0</v>
      </c>
      <c r="D9" s="77"/>
      <c r="E9" s="77">
        <v>0.0</v>
      </c>
      <c r="F9" s="77">
        <v>0.0</v>
      </c>
      <c r="G9" s="77">
        <v>0.0</v>
      </c>
      <c r="H9" s="77">
        <v>0.0</v>
      </c>
      <c r="I9" s="77">
        <v>35.0</v>
      </c>
      <c r="J9" s="77">
        <v>73.0</v>
      </c>
      <c r="K9" s="77">
        <v>106.0</v>
      </c>
      <c r="L9" s="77">
        <v>91.0</v>
      </c>
      <c r="M9" s="77">
        <v>17.0</v>
      </c>
      <c r="N9" s="77">
        <v>0.0</v>
      </c>
      <c r="O9" s="77">
        <v>0.0</v>
      </c>
      <c r="P9" s="77">
        <v>0.0</v>
      </c>
      <c r="Q9" s="77">
        <v>322.0</v>
      </c>
      <c r="R9" s="77">
        <v>0.0</v>
      </c>
      <c r="S9" s="77">
        <v>0.0</v>
      </c>
      <c r="T9" s="91">
        <v>60.177</v>
      </c>
      <c r="U9" s="91">
        <v>58.137</v>
      </c>
      <c r="V9" s="91">
        <v>65.976</v>
      </c>
      <c r="W9" s="91">
        <v>31.676</v>
      </c>
      <c r="X9" s="84"/>
      <c r="Y9" s="84"/>
      <c r="Z9" s="84"/>
    </row>
    <row r="10">
      <c r="A10" s="86"/>
      <c r="B10" s="90">
        <v>70.0</v>
      </c>
      <c r="C10" s="90">
        <v>75.0</v>
      </c>
      <c r="D10" s="84"/>
      <c r="E10" s="92">
        <v>0.0</v>
      </c>
      <c r="F10" s="92">
        <v>0.0</v>
      </c>
      <c r="G10" s="92">
        <v>0.0</v>
      </c>
      <c r="H10" s="92">
        <v>0.0</v>
      </c>
      <c r="I10" s="92">
        <v>38.0</v>
      </c>
      <c r="J10" s="92">
        <v>95.0</v>
      </c>
      <c r="K10" s="92">
        <v>93.0</v>
      </c>
      <c r="L10" s="92">
        <v>111.0</v>
      </c>
      <c r="M10" s="92">
        <v>41.0</v>
      </c>
      <c r="N10" s="92">
        <v>0.0</v>
      </c>
      <c r="O10" s="92">
        <v>0.0</v>
      </c>
      <c r="P10" s="92">
        <v>0.0</v>
      </c>
      <c r="Q10" s="92">
        <v>378.0</v>
      </c>
      <c r="R10" s="77">
        <v>0.0</v>
      </c>
      <c r="S10" s="77">
        <v>0.0</v>
      </c>
      <c r="T10" s="93">
        <v>57.42</v>
      </c>
      <c r="U10" s="93">
        <v>61.619</v>
      </c>
      <c r="V10" s="93">
        <v>63.033</v>
      </c>
      <c r="W10" s="93">
        <v>29.408</v>
      </c>
      <c r="X10" s="84"/>
      <c r="Y10" s="84"/>
      <c r="Z10" s="84"/>
    </row>
    <row r="11">
      <c r="A11" s="86"/>
      <c r="B11" s="90">
        <v>65.0</v>
      </c>
      <c r="C11" s="90">
        <v>70.0</v>
      </c>
      <c r="D11" s="78"/>
      <c r="E11" s="77">
        <v>0.0</v>
      </c>
      <c r="F11" s="77">
        <v>0.0</v>
      </c>
      <c r="G11" s="77">
        <v>0.0</v>
      </c>
      <c r="H11" s="77">
        <v>3.0</v>
      </c>
      <c r="I11" s="77">
        <v>77.0</v>
      </c>
      <c r="J11" s="77">
        <v>150.0</v>
      </c>
      <c r="K11" s="77">
        <v>172.0</v>
      </c>
      <c r="L11" s="77">
        <v>123.0</v>
      </c>
      <c r="M11" s="77">
        <v>72.0</v>
      </c>
      <c r="N11" s="77">
        <v>9.0</v>
      </c>
      <c r="O11" s="77">
        <v>0.0</v>
      </c>
      <c r="P11" s="77">
        <v>0.0</v>
      </c>
      <c r="Q11" s="77">
        <v>606.0</v>
      </c>
      <c r="R11" s="94">
        <f>((H$11/(SUM(H$6:H$11))*H$5))+((I$11/(SUM(I$6:I$11))*I$5))+((J$11/(SUM(J$6:J$11))*J$5))</f>
        <v>4.584948454</v>
      </c>
      <c r="S11" s="77">
        <v>0.0</v>
      </c>
      <c r="T11" s="91">
        <v>56.437</v>
      </c>
      <c r="U11" s="91">
        <v>68.807</v>
      </c>
      <c r="V11" s="91">
        <v>60.927</v>
      </c>
      <c r="W11" s="91">
        <v>27.863</v>
      </c>
      <c r="X11" s="84"/>
      <c r="Y11" s="84"/>
      <c r="Z11" s="84"/>
    </row>
    <row r="1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>
      <c r="A13" s="84"/>
      <c r="B13" s="84"/>
      <c r="C13" s="84"/>
      <c r="D13" s="84"/>
      <c r="E13" s="84"/>
      <c r="F13" s="84"/>
      <c r="G13" s="84"/>
      <c r="H13" s="78"/>
      <c r="I13" s="78"/>
      <c r="J13" s="78"/>
      <c r="K13" s="78"/>
      <c r="L13" s="78"/>
      <c r="M13" s="78"/>
      <c r="N13" s="78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>
      <c r="A21" s="84"/>
      <c r="B21" s="84"/>
      <c r="C21" s="84"/>
      <c r="D21" s="84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>
      <c r="A22" s="84"/>
      <c r="C22" s="86"/>
      <c r="D22" s="96" t="s">
        <v>197</v>
      </c>
      <c r="E22" s="97">
        <v>5764.81</v>
      </c>
      <c r="F22" s="97">
        <v>5803.6</v>
      </c>
      <c r="G22" s="97">
        <v>4570.75</v>
      </c>
      <c r="H22" s="97">
        <v>5555.13</v>
      </c>
      <c r="I22" s="97">
        <v>2253.71</v>
      </c>
      <c r="J22" s="97">
        <v>1482.38</v>
      </c>
      <c r="K22" s="98">
        <v>572.72</v>
      </c>
      <c r="L22" s="98">
        <v>376.73</v>
      </c>
      <c r="M22" s="98">
        <v>848.58</v>
      </c>
      <c r="N22" s="97">
        <v>1340.96</v>
      </c>
      <c r="O22" s="97">
        <v>1844.74</v>
      </c>
      <c r="P22" s="97">
        <v>3974.89</v>
      </c>
      <c r="Q22" s="99">
        <v>34389.0</v>
      </c>
      <c r="R22" s="84"/>
      <c r="S22" s="84"/>
      <c r="T22" s="84"/>
      <c r="U22" s="84"/>
      <c r="V22" s="84"/>
      <c r="W22" s="84"/>
      <c r="X22" s="84"/>
      <c r="Y22" s="84"/>
      <c r="Z22" s="84"/>
    </row>
    <row r="23">
      <c r="A23" s="86"/>
      <c r="B23" s="100">
        <v>60.0</v>
      </c>
      <c r="C23" s="100">
        <v>65.0</v>
      </c>
      <c r="D23" s="78"/>
      <c r="E23" s="77"/>
      <c r="F23" s="77">
        <v>0.0</v>
      </c>
      <c r="G23" s="77">
        <v>9.0</v>
      </c>
      <c r="H23" s="77">
        <v>48.0</v>
      </c>
      <c r="I23" s="77">
        <v>121.0</v>
      </c>
      <c r="J23" s="77">
        <v>198.0</v>
      </c>
      <c r="K23" s="77">
        <v>153.0</v>
      </c>
      <c r="L23" s="77">
        <v>231.0</v>
      </c>
      <c r="M23" s="77">
        <v>168.0</v>
      </c>
      <c r="N23" s="77">
        <v>104.0</v>
      </c>
      <c r="O23" s="77">
        <v>5.0</v>
      </c>
      <c r="P23" s="77">
        <v>0.0</v>
      </c>
      <c r="Q23" s="77">
        <v>1037.0</v>
      </c>
      <c r="R23" s="78"/>
      <c r="S23" s="78"/>
      <c r="T23" s="91">
        <v>52.824</v>
      </c>
      <c r="U23" s="91">
        <v>73.583</v>
      </c>
      <c r="V23" s="91">
        <v>57.008</v>
      </c>
      <c r="W23" s="91">
        <v>25.178</v>
      </c>
      <c r="X23" s="84"/>
      <c r="Y23" s="84"/>
      <c r="Z23" s="84"/>
    </row>
    <row r="24">
      <c r="A24" s="86"/>
      <c r="B24" s="100">
        <v>55.0</v>
      </c>
      <c r="C24" s="100">
        <v>60.0</v>
      </c>
      <c r="D24" s="78"/>
      <c r="E24" s="77">
        <v>0.0</v>
      </c>
      <c r="F24" s="77">
        <v>0.0</v>
      </c>
      <c r="G24" s="77">
        <v>38.0</v>
      </c>
      <c r="H24" s="77">
        <v>60.0</v>
      </c>
      <c r="I24" s="77">
        <v>161.0</v>
      </c>
      <c r="J24" s="77">
        <v>63.0</v>
      </c>
      <c r="K24" s="77">
        <v>81.0</v>
      </c>
      <c r="L24" s="77">
        <v>110.0</v>
      </c>
      <c r="M24" s="77">
        <v>160.0</v>
      </c>
      <c r="N24" s="77">
        <v>113.0</v>
      </c>
      <c r="O24" s="77">
        <v>48.0</v>
      </c>
      <c r="P24" s="77">
        <v>2.0</v>
      </c>
      <c r="Q24" s="77">
        <v>836.0</v>
      </c>
      <c r="R24" s="78"/>
      <c r="S24" s="78"/>
      <c r="T24" s="91">
        <v>48.683</v>
      </c>
      <c r="U24" s="91">
        <v>76.344</v>
      </c>
      <c r="V24" s="91">
        <v>52.586</v>
      </c>
      <c r="W24" s="91">
        <v>22.353</v>
      </c>
      <c r="X24" s="84"/>
      <c r="Y24" s="84"/>
      <c r="Z24" s="84"/>
    </row>
    <row r="25">
      <c r="A25" s="86"/>
      <c r="B25" s="100">
        <v>50.0</v>
      </c>
      <c r="C25" s="100">
        <v>55.0</v>
      </c>
      <c r="D25" s="78"/>
      <c r="E25" s="77">
        <v>0.0</v>
      </c>
      <c r="F25" s="77">
        <v>0.0</v>
      </c>
      <c r="G25" s="77">
        <v>42.0</v>
      </c>
      <c r="H25" s="77">
        <v>98.0</v>
      </c>
      <c r="I25" s="77">
        <v>130.0</v>
      </c>
      <c r="J25" s="77">
        <v>27.0</v>
      </c>
      <c r="K25" s="77">
        <v>34.0</v>
      </c>
      <c r="L25" s="77">
        <v>26.0</v>
      </c>
      <c r="M25" s="77">
        <v>87.0</v>
      </c>
      <c r="N25" s="77">
        <v>96.0</v>
      </c>
      <c r="O25" s="77">
        <v>39.0</v>
      </c>
      <c r="P25" s="77">
        <v>5.0</v>
      </c>
      <c r="Q25" s="77">
        <v>584.0</v>
      </c>
      <c r="R25" s="78"/>
      <c r="S25" s="78"/>
      <c r="T25" s="91">
        <v>42.342</v>
      </c>
      <c r="U25" s="91">
        <v>71.471</v>
      </c>
      <c r="V25" s="91">
        <v>47.486</v>
      </c>
      <c r="W25" s="91">
        <v>19.418</v>
      </c>
      <c r="X25" s="84"/>
      <c r="Y25" s="84"/>
      <c r="Z25" s="84"/>
    </row>
    <row r="26">
      <c r="A26" s="86"/>
      <c r="B26" s="100">
        <v>45.0</v>
      </c>
      <c r="C26" s="100">
        <v>50.0</v>
      </c>
      <c r="D26" s="78"/>
      <c r="E26" s="77">
        <v>43.0</v>
      </c>
      <c r="F26" s="77">
        <v>1.0</v>
      </c>
      <c r="G26" s="77">
        <v>47.0</v>
      </c>
      <c r="H26" s="77">
        <v>192.0</v>
      </c>
      <c r="I26" s="77">
        <v>79.0</v>
      </c>
      <c r="J26" s="77">
        <v>25.0</v>
      </c>
      <c r="K26" s="77">
        <v>17.0</v>
      </c>
      <c r="L26" s="77">
        <v>2.0</v>
      </c>
      <c r="M26" s="77">
        <v>120.0</v>
      </c>
      <c r="N26" s="77">
        <v>169.0</v>
      </c>
      <c r="O26" s="77">
        <v>68.0</v>
      </c>
      <c r="P26" s="77">
        <v>21.0</v>
      </c>
      <c r="Q26" s="77">
        <v>784.0</v>
      </c>
      <c r="R26" s="78"/>
      <c r="S26" s="78"/>
      <c r="T26" s="91">
        <v>38.46</v>
      </c>
      <c r="U26" s="91">
        <v>72.364</v>
      </c>
      <c r="V26" s="91">
        <v>43.484</v>
      </c>
      <c r="W26" s="91">
        <v>17.297</v>
      </c>
      <c r="X26" s="84"/>
      <c r="Y26" s="84"/>
      <c r="Z26" s="84"/>
    </row>
    <row r="27">
      <c r="A27" s="86"/>
      <c r="B27" s="100">
        <v>40.0</v>
      </c>
      <c r="C27" s="100">
        <v>45.0</v>
      </c>
      <c r="D27" s="77">
        <v>3.74</v>
      </c>
      <c r="E27" s="77">
        <v>37.0</v>
      </c>
      <c r="F27" s="77">
        <v>26.0</v>
      </c>
      <c r="G27" s="77">
        <v>42.0</v>
      </c>
      <c r="H27" s="77">
        <v>152.0</v>
      </c>
      <c r="I27" s="77">
        <v>70.0</v>
      </c>
      <c r="J27" s="77">
        <v>17.0</v>
      </c>
      <c r="K27" s="77">
        <v>0.0</v>
      </c>
      <c r="L27" s="77">
        <v>0.0</v>
      </c>
      <c r="M27" s="77">
        <v>31.0</v>
      </c>
      <c r="N27" s="77">
        <v>143.0</v>
      </c>
      <c r="O27" s="77">
        <v>113.0</v>
      </c>
      <c r="P27" s="77">
        <v>27.0</v>
      </c>
      <c r="Q27" s="77">
        <v>658.0</v>
      </c>
      <c r="R27" s="78"/>
      <c r="S27" s="78"/>
      <c r="T27" s="91">
        <v>33.043</v>
      </c>
      <c r="U27" s="91">
        <v>69.906</v>
      </c>
      <c r="V27" s="91">
        <v>38.637</v>
      </c>
      <c r="W27" s="91">
        <v>14.921</v>
      </c>
      <c r="X27" s="84"/>
      <c r="Y27" s="84"/>
      <c r="Z27" s="84"/>
    </row>
    <row r="28">
      <c r="A28" s="86"/>
      <c r="B28" s="100">
        <v>35.0</v>
      </c>
      <c r="C28" s="100">
        <v>40.0</v>
      </c>
      <c r="D28" s="77">
        <v>3.36</v>
      </c>
      <c r="E28" s="77">
        <v>52.0</v>
      </c>
      <c r="F28" s="77">
        <v>35.0</v>
      </c>
      <c r="G28" s="77">
        <v>119.0</v>
      </c>
      <c r="H28" s="77">
        <v>113.0</v>
      </c>
      <c r="I28" s="77">
        <v>19.0</v>
      </c>
      <c r="J28" s="77">
        <v>2.0</v>
      </c>
      <c r="K28" s="77">
        <v>0.0</v>
      </c>
      <c r="L28" s="77">
        <v>0.0</v>
      </c>
      <c r="M28" s="77">
        <v>24.0</v>
      </c>
      <c r="N28" s="77">
        <v>71.0</v>
      </c>
      <c r="O28" s="77">
        <v>238.0</v>
      </c>
      <c r="P28" s="77">
        <v>118.0</v>
      </c>
      <c r="Q28" s="77">
        <v>791.0</v>
      </c>
      <c r="R28" s="78"/>
      <c r="S28" s="78"/>
      <c r="T28" s="91">
        <v>28.334</v>
      </c>
      <c r="U28" s="91">
        <v>71.197</v>
      </c>
      <c r="V28" s="91">
        <v>33.738</v>
      </c>
      <c r="W28" s="91">
        <v>12.731</v>
      </c>
      <c r="X28" s="84"/>
      <c r="Y28" s="84"/>
      <c r="Z28" s="84"/>
    </row>
    <row r="29">
      <c r="A29" s="86"/>
      <c r="B29" s="100">
        <v>30.0</v>
      </c>
      <c r="C29" s="100">
        <v>35.0</v>
      </c>
      <c r="D29" s="77">
        <v>3.35</v>
      </c>
      <c r="E29" s="77">
        <v>114.0</v>
      </c>
      <c r="F29" s="77">
        <v>129.0</v>
      </c>
      <c r="G29" s="77">
        <v>194.0</v>
      </c>
      <c r="H29" s="77">
        <v>30.0</v>
      </c>
      <c r="I29" s="77">
        <v>2.0</v>
      </c>
      <c r="J29" s="77">
        <v>0.0</v>
      </c>
      <c r="K29" s="77">
        <v>0.0</v>
      </c>
      <c r="L29" s="77">
        <v>0.0</v>
      </c>
      <c r="M29" s="77">
        <v>0.0</v>
      </c>
      <c r="N29" s="77">
        <v>32.0</v>
      </c>
      <c r="O29" s="77">
        <v>176.0</v>
      </c>
      <c r="P29" s="77">
        <v>166.0</v>
      </c>
      <c r="Q29" s="77">
        <v>843.0</v>
      </c>
      <c r="R29" s="78"/>
      <c r="S29" s="78"/>
      <c r="T29" s="91">
        <v>23.771</v>
      </c>
      <c r="U29" s="91">
        <v>73.484</v>
      </c>
      <c r="V29" s="91">
        <v>28.856</v>
      </c>
      <c r="W29" s="91">
        <v>10.657</v>
      </c>
      <c r="X29" s="84"/>
      <c r="Y29" s="84"/>
      <c r="Z29" s="84"/>
    </row>
    <row r="30">
      <c r="A30" s="86"/>
      <c r="B30" s="100">
        <v>25.0</v>
      </c>
      <c r="C30" s="100">
        <v>30.0</v>
      </c>
      <c r="D30" s="78"/>
      <c r="E30" s="77">
        <v>76.0</v>
      </c>
      <c r="F30" s="77">
        <v>130.0</v>
      </c>
      <c r="G30" s="77">
        <v>94.0</v>
      </c>
      <c r="H30" s="77">
        <v>11.0</v>
      </c>
      <c r="I30" s="77">
        <v>0.0</v>
      </c>
      <c r="J30" s="77">
        <v>0.0</v>
      </c>
      <c r="K30" s="77">
        <v>0.0</v>
      </c>
      <c r="L30" s="77">
        <v>0.0</v>
      </c>
      <c r="M30" s="77">
        <v>0.0</v>
      </c>
      <c r="N30" s="77">
        <v>7.0</v>
      </c>
      <c r="O30" s="77">
        <v>33.0</v>
      </c>
      <c r="P30" s="77">
        <v>108.0</v>
      </c>
      <c r="Q30" s="77">
        <v>459.0</v>
      </c>
      <c r="R30" s="78"/>
      <c r="S30" s="78"/>
      <c r="T30" s="91">
        <v>19.319</v>
      </c>
      <c r="U30" s="91">
        <v>72.094</v>
      </c>
      <c r="V30" s="91">
        <v>24.899</v>
      </c>
      <c r="W30" s="91">
        <v>9.069</v>
      </c>
      <c r="X30" s="84"/>
      <c r="Y30" s="84"/>
      <c r="Z30" s="84"/>
    </row>
    <row r="31">
      <c r="A31" s="86"/>
      <c r="B31" s="100">
        <v>20.0</v>
      </c>
      <c r="C31" s="100">
        <v>25.0</v>
      </c>
      <c r="D31" s="78"/>
      <c r="E31" s="77">
        <v>138.0</v>
      </c>
      <c r="F31" s="77">
        <v>112.0</v>
      </c>
      <c r="G31" s="77">
        <v>65.0</v>
      </c>
      <c r="H31" s="77">
        <v>13.0</v>
      </c>
      <c r="I31" s="77">
        <v>0.0</v>
      </c>
      <c r="J31" s="77">
        <v>0.0</v>
      </c>
      <c r="K31" s="77">
        <v>0.0</v>
      </c>
      <c r="L31" s="77">
        <v>0.0</v>
      </c>
      <c r="M31" s="77">
        <v>0.0</v>
      </c>
      <c r="N31" s="77">
        <v>0.0</v>
      </c>
      <c r="O31" s="77">
        <v>0.0</v>
      </c>
      <c r="P31" s="77">
        <v>131.0</v>
      </c>
      <c r="Q31" s="77">
        <v>459.0</v>
      </c>
      <c r="R31" s="78"/>
      <c r="S31" s="78"/>
      <c r="T31" s="91">
        <v>13.643</v>
      </c>
      <c r="U31" s="91">
        <v>67.627</v>
      </c>
      <c r="V31" s="91">
        <v>20.435</v>
      </c>
      <c r="W31" s="91">
        <v>7.397</v>
      </c>
      <c r="X31" s="84"/>
      <c r="Y31" s="84"/>
      <c r="Z31" s="84"/>
    </row>
    <row r="32">
      <c r="A32" s="86"/>
      <c r="B32" s="100">
        <v>15.0</v>
      </c>
      <c r="C32" s="100">
        <v>20.0</v>
      </c>
      <c r="D32" s="78"/>
      <c r="E32" s="77">
        <v>79.0</v>
      </c>
      <c r="F32" s="77">
        <v>134.0</v>
      </c>
      <c r="G32" s="77">
        <v>70.0</v>
      </c>
      <c r="H32" s="77">
        <v>0.0</v>
      </c>
      <c r="I32" s="77">
        <v>0.0</v>
      </c>
      <c r="J32" s="77">
        <v>0.0</v>
      </c>
      <c r="K32" s="77">
        <v>0.0</v>
      </c>
      <c r="L32" s="77">
        <v>0.0</v>
      </c>
      <c r="M32" s="77">
        <v>0.0</v>
      </c>
      <c r="N32" s="77">
        <v>0.0</v>
      </c>
      <c r="O32" s="77">
        <v>0.0</v>
      </c>
      <c r="P32" s="77">
        <v>127.0</v>
      </c>
      <c r="Q32" s="77">
        <v>410.0</v>
      </c>
      <c r="R32" s="78"/>
      <c r="S32" s="78"/>
      <c r="T32" s="91">
        <v>8.668</v>
      </c>
      <c r="U32" s="91">
        <v>68.544</v>
      </c>
      <c r="V32" s="91">
        <v>15.406</v>
      </c>
      <c r="W32" s="91">
        <v>5.641</v>
      </c>
      <c r="X32" s="84"/>
      <c r="Y32" s="84"/>
      <c r="Z32" s="84"/>
    </row>
    <row r="33">
      <c r="A33" s="86"/>
      <c r="B33" s="100">
        <v>10.0</v>
      </c>
      <c r="C33" s="100">
        <v>15.0</v>
      </c>
      <c r="D33" s="78"/>
      <c r="E33" s="77">
        <v>79.0</v>
      </c>
      <c r="F33" s="77">
        <v>57.0</v>
      </c>
      <c r="G33" s="77">
        <v>18.0</v>
      </c>
      <c r="H33" s="77">
        <v>0.0</v>
      </c>
      <c r="I33" s="77">
        <v>0.0</v>
      </c>
      <c r="J33" s="77">
        <v>0.0</v>
      </c>
      <c r="K33" s="77">
        <v>0.0</v>
      </c>
      <c r="L33" s="77">
        <v>0.0</v>
      </c>
      <c r="M33" s="77">
        <v>0.0</v>
      </c>
      <c r="N33" s="77">
        <v>0.0</v>
      </c>
      <c r="O33" s="77">
        <v>0.0</v>
      </c>
      <c r="P33" s="77">
        <v>31.0</v>
      </c>
      <c r="Q33" s="77">
        <v>185.0</v>
      </c>
      <c r="R33" s="78"/>
      <c r="S33" s="78"/>
      <c r="T33" s="91">
        <v>4.204</v>
      </c>
      <c r="U33" s="91">
        <v>71.503</v>
      </c>
      <c r="V33" s="91">
        <v>10.422</v>
      </c>
      <c r="W33" s="91">
        <v>4.016</v>
      </c>
      <c r="X33" s="84"/>
      <c r="Y33" s="84"/>
      <c r="Z33" s="84"/>
    </row>
    <row r="34">
      <c r="A34" s="86"/>
      <c r="B34" s="100">
        <v>5.0</v>
      </c>
      <c r="C34" s="100">
        <v>10.0</v>
      </c>
      <c r="D34" s="78"/>
      <c r="E34" s="77">
        <v>58.0</v>
      </c>
      <c r="F34" s="77">
        <v>41.0</v>
      </c>
      <c r="G34" s="77">
        <v>6.0</v>
      </c>
      <c r="H34" s="77">
        <v>0.0</v>
      </c>
      <c r="I34" s="77">
        <v>0.0</v>
      </c>
      <c r="J34" s="77">
        <v>0.0</v>
      </c>
      <c r="K34" s="77">
        <v>0.0</v>
      </c>
      <c r="L34" s="77">
        <v>0.0</v>
      </c>
      <c r="M34" s="77">
        <v>0.0</v>
      </c>
      <c r="N34" s="77">
        <v>0.0</v>
      </c>
      <c r="O34" s="77">
        <v>0.0</v>
      </c>
      <c r="P34" s="77">
        <v>8.0</v>
      </c>
      <c r="Q34" s="77">
        <v>113.0</v>
      </c>
      <c r="R34" s="78"/>
      <c r="S34" s="78"/>
      <c r="T34" s="91">
        <v>-0.069</v>
      </c>
      <c r="U34" s="91">
        <v>70.628</v>
      </c>
      <c r="V34" s="91">
        <v>6.381</v>
      </c>
      <c r="W34" s="91">
        <v>2.765</v>
      </c>
      <c r="X34" s="84"/>
      <c r="Y34" s="84"/>
      <c r="Z34" s="84"/>
    </row>
    <row r="35">
      <c r="A35" s="86"/>
      <c r="B35" s="100">
        <v>0.0</v>
      </c>
      <c r="C35" s="100">
        <v>5.0</v>
      </c>
      <c r="D35" s="78"/>
      <c r="E35" s="77">
        <v>43.0</v>
      </c>
      <c r="F35" s="77">
        <v>7.0</v>
      </c>
      <c r="G35" s="77">
        <v>0.0</v>
      </c>
      <c r="H35" s="77">
        <v>0.0</v>
      </c>
      <c r="I35" s="77">
        <v>0.0</v>
      </c>
      <c r="J35" s="77">
        <v>0.0</v>
      </c>
      <c r="K35" s="77">
        <v>0.0</v>
      </c>
      <c r="L35" s="77">
        <v>0.0</v>
      </c>
      <c r="M35" s="77">
        <v>0.0</v>
      </c>
      <c r="N35" s="77">
        <v>0.0</v>
      </c>
      <c r="O35" s="77">
        <v>0.0</v>
      </c>
      <c r="P35" s="77">
        <v>0.0</v>
      </c>
      <c r="Q35" s="77">
        <v>50.0</v>
      </c>
      <c r="R35" s="78"/>
      <c r="S35" s="78"/>
      <c r="T35" s="91">
        <v>-3.489</v>
      </c>
      <c r="U35" s="91">
        <v>74.42</v>
      </c>
      <c r="V35" s="91">
        <v>1.953</v>
      </c>
      <c r="W35" s="91">
        <v>1.457</v>
      </c>
      <c r="X35" s="84"/>
      <c r="Y35" s="84"/>
      <c r="Z35" s="84"/>
    </row>
    <row r="36">
      <c r="A36" s="86"/>
      <c r="B36" s="100">
        <v>-5.0</v>
      </c>
      <c r="C36" s="100">
        <v>0.0</v>
      </c>
      <c r="D36" s="78"/>
      <c r="E36" s="77">
        <v>19.0</v>
      </c>
      <c r="F36" s="77">
        <v>0.0</v>
      </c>
      <c r="G36" s="77">
        <v>0.0</v>
      </c>
      <c r="H36" s="77">
        <v>0.0</v>
      </c>
      <c r="I36" s="77">
        <v>0.0</v>
      </c>
      <c r="J36" s="77">
        <v>0.0</v>
      </c>
      <c r="K36" s="77">
        <v>0.0</v>
      </c>
      <c r="L36" s="77">
        <v>0.0</v>
      </c>
      <c r="M36" s="77">
        <v>0.0</v>
      </c>
      <c r="N36" s="77">
        <v>0.0</v>
      </c>
      <c r="O36" s="77">
        <v>0.0</v>
      </c>
      <c r="P36" s="77">
        <v>0.0</v>
      </c>
      <c r="Q36" s="77">
        <v>19.0</v>
      </c>
      <c r="R36" s="78"/>
      <c r="S36" s="78"/>
      <c r="T36" s="91">
        <v>-6.833</v>
      </c>
      <c r="U36" s="91">
        <v>76.579</v>
      </c>
      <c r="V36" s="91">
        <v>-1.91</v>
      </c>
      <c r="W36" s="91">
        <v>0.348</v>
      </c>
      <c r="X36" s="84"/>
      <c r="Y36" s="84"/>
      <c r="Z36" s="84"/>
    </row>
    <row r="37">
      <c r="A37" s="86"/>
      <c r="B37" s="100">
        <v>-10.0</v>
      </c>
      <c r="C37" s="100">
        <v>-5.0</v>
      </c>
      <c r="D37" s="78"/>
      <c r="E37" s="77">
        <v>6.0</v>
      </c>
      <c r="F37" s="77">
        <v>0.0</v>
      </c>
      <c r="G37" s="77">
        <v>0.0</v>
      </c>
      <c r="H37" s="77">
        <v>0.0</v>
      </c>
      <c r="I37" s="77">
        <v>0.0</v>
      </c>
      <c r="J37" s="77">
        <v>0.0</v>
      </c>
      <c r="K37" s="77">
        <v>0.0</v>
      </c>
      <c r="L37" s="77">
        <v>0.0</v>
      </c>
      <c r="M37" s="77">
        <v>0.0</v>
      </c>
      <c r="N37" s="77">
        <v>0.0</v>
      </c>
      <c r="O37" s="77">
        <v>0.0</v>
      </c>
      <c r="P37" s="77">
        <v>0.0</v>
      </c>
      <c r="Q37" s="77">
        <v>6.0</v>
      </c>
      <c r="R37" s="78"/>
      <c r="S37" s="78"/>
      <c r="T37" s="91">
        <v>-10.48</v>
      </c>
      <c r="U37" s="91">
        <v>81.5</v>
      </c>
      <c r="V37" s="91">
        <v>-6.815</v>
      </c>
      <c r="W37" s="91">
        <v>-1.023</v>
      </c>
      <c r="X37" s="84"/>
      <c r="Y37" s="84"/>
      <c r="Z37" s="84"/>
    </row>
    <row r="38">
      <c r="A38" s="84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7" t="s">
        <v>13</v>
      </c>
      <c r="Q38" s="77">
        <v>43150.0</v>
      </c>
      <c r="R38" s="78"/>
      <c r="S38" s="78"/>
      <c r="T38" s="78"/>
      <c r="U38" s="78"/>
      <c r="V38" s="78"/>
      <c r="W38" s="78"/>
      <c r="X38" s="84"/>
      <c r="Y38" s="84"/>
      <c r="Z38" s="84"/>
    </row>
    <row r="39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>
      <c r="A40" s="84"/>
      <c r="B40" s="84"/>
      <c r="C40" s="92"/>
      <c r="D40" s="92"/>
      <c r="E40" s="101"/>
      <c r="F40" s="102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>
      <c r="A41" s="77"/>
      <c r="C41" s="84"/>
      <c r="D41" s="84"/>
      <c r="E41" s="101"/>
      <c r="F41" s="102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>
      <c r="A42" s="77"/>
      <c r="C42" s="84"/>
      <c r="D42" s="84"/>
      <c r="E42" s="101"/>
      <c r="F42" s="102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>
      <c r="A43" s="77"/>
      <c r="C43" s="84"/>
      <c r="D43" s="84"/>
      <c r="E43" s="101"/>
      <c r="F43" s="102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>
      <c r="A44" s="77"/>
      <c r="C44" s="84"/>
      <c r="D44" s="84"/>
      <c r="E44" s="101"/>
      <c r="F44" s="102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>
      <c r="A45" s="77"/>
      <c r="C45" s="84"/>
      <c r="D45" s="84"/>
      <c r="E45" s="101"/>
      <c r="F45" s="102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>
      <c r="A46" s="77"/>
      <c r="C46" s="84"/>
      <c r="D46" s="84"/>
      <c r="E46" s="101"/>
      <c r="F46" s="102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>
      <c r="A47" s="77"/>
      <c r="C47" s="84"/>
      <c r="D47" s="84"/>
      <c r="E47" s="101"/>
      <c r="F47" s="102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>
      <c r="A48" s="77"/>
      <c r="C48" s="84"/>
      <c r="D48" s="84"/>
      <c r="E48" s="101"/>
      <c r="F48" s="102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>
      <c r="A49" s="77"/>
      <c r="C49" s="84"/>
      <c r="D49" s="84"/>
      <c r="E49" s="101"/>
      <c r="F49" s="102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>
      <c r="A50" s="77"/>
      <c r="C50" s="84"/>
      <c r="D50" s="84"/>
      <c r="E50" s="101"/>
      <c r="F50" s="102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>
      <c r="A51" s="77"/>
      <c r="C51" s="84"/>
      <c r="D51" s="84"/>
      <c r="E51" s="101"/>
      <c r="F51" s="102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</row>
    <row r="52">
      <c r="A52" s="77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</row>
    <row r="53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</row>
    <row r="54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</row>
    <row r="56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</row>
    <row r="60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  <row r="94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</row>
    <row r="9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</row>
    <row r="96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</row>
    <row r="97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</row>
    <row r="98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</row>
    <row r="99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</row>
    <row r="100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</row>
    <row r="10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</row>
    <row r="10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</row>
    <row r="104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</row>
    <row r="105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</row>
    <row r="106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</row>
    <row r="107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</row>
    <row r="108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</row>
    <row r="109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</row>
    <row r="110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</row>
    <row r="111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</row>
    <row r="11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</row>
    <row r="113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</row>
    <row r="114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</row>
    <row r="115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</row>
    <row r="116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</row>
    <row r="117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</row>
    <row r="118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</row>
    <row r="119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</row>
    <row r="120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</row>
    <row r="121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</row>
    <row r="12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</row>
    <row r="123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</row>
    <row r="124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</row>
    <row r="12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</row>
    <row r="126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</row>
    <row r="127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</row>
    <row r="128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</row>
    <row r="129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</row>
    <row r="130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</row>
    <row r="131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</row>
    <row r="13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</row>
    <row r="133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</row>
    <row r="134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</row>
    <row r="13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</row>
    <row r="136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</row>
    <row r="137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</row>
    <row r="138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</row>
    <row r="139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</row>
    <row r="140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</row>
    <row r="14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</row>
    <row r="14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</row>
    <row r="143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</row>
    <row r="144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</row>
    <row r="145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</row>
    <row r="146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</row>
    <row r="147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</row>
    <row r="148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</row>
    <row r="149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</row>
    <row r="150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</row>
    <row r="151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</row>
    <row r="15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</row>
    <row r="153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</row>
    <row r="154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</row>
    <row r="155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</row>
    <row r="156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</row>
    <row r="157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</row>
    <row r="158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</row>
    <row r="159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</row>
    <row r="160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</row>
    <row r="161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</row>
    <row r="16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</row>
    <row r="163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</row>
    <row r="164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</row>
    <row r="165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</row>
    <row r="166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</row>
    <row r="167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</row>
    <row r="168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</row>
    <row r="169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</row>
    <row r="170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</row>
    <row r="171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</row>
    <row r="17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</row>
    <row r="173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</row>
    <row r="174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</row>
    <row r="175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</row>
    <row r="176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</row>
    <row r="177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</row>
    <row r="178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</row>
    <row r="179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</row>
    <row r="180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</row>
    <row r="181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</row>
    <row r="18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</row>
    <row r="183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</row>
    <row r="184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</row>
    <row r="185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</row>
    <row r="186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</row>
    <row r="187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</row>
    <row r="188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</row>
    <row r="189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</row>
    <row r="190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</row>
    <row r="19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</row>
    <row r="19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</row>
    <row r="193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</row>
    <row r="194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</row>
    <row r="195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</row>
    <row r="196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</row>
    <row r="197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</row>
    <row r="198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</row>
    <row r="199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</row>
    <row r="200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</row>
    <row r="20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</row>
    <row r="20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</row>
    <row r="203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</row>
    <row r="204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</row>
    <row r="205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</row>
    <row r="206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</row>
    <row r="207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</row>
    <row r="208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</row>
    <row r="209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</row>
    <row r="210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</row>
    <row r="21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</row>
    <row r="21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</row>
    <row r="213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</row>
    <row r="214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</row>
    <row r="215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</row>
    <row r="216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</row>
    <row r="217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</row>
    <row r="218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</row>
    <row r="219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</row>
    <row r="220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</row>
    <row r="22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</row>
    <row r="22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</row>
    <row r="223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</row>
    <row r="224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</row>
    <row r="2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</row>
    <row r="226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</row>
    <row r="227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</row>
    <row r="228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  <row r="1001">
      <c r="A1001" s="84"/>
      <c r="B1001" s="84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  <c r="N1001" s="84"/>
      <c r="O1001" s="84"/>
      <c r="P1001" s="84"/>
      <c r="Q1001" s="84"/>
      <c r="R1001" s="84"/>
      <c r="S1001" s="84"/>
      <c r="T1001" s="84"/>
      <c r="U1001" s="84"/>
      <c r="V1001" s="84"/>
      <c r="W1001" s="84"/>
      <c r="X1001" s="84"/>
      <c r="Y1001" s="84"/>
      <c r="Z1001" s="8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03"/>
      <c r="B1" s="104">
        <v>1.0</v>
      </c>
      <c r="C1" s="104">
        <v>2.0</v>
      </c>
      <c r="D1" s="104">
        <v>3.0</v>
      </c>
      <c r="E1" s="104">
        <v>4.0</v>
      </c>
      <c r="F1" s="104">
        <v>5.0</v>
      </c>
      <c r="G1" s="104">
        <v>6.0</v>
      </c>
      <c r="H1" s="104">
        <v>7.0</v>
      </c>
      <c r="I1" s="104">
        <v>8.0</v>
      </c>
      <c r="J1" s="104">
        <v>9.0</v>
      </c>
      <c r="K1" s="104">
        <v>10.0</v>
      </c>
      <c r="L1" s="104">
        <v>11.0</v>
      </c>
      <c r="M1" s="104">
        <v>12.0</v>
      </c>
      <c r="N1" s="103"/>
      <c r="O1" s="103"/>
    </row>
    <row r="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>
      <c r="A3" s="105" t="s">
        <v>198</v>
      </c>
      <c r="B3" s="106" t="s">
        <v>199</v>
      </c>
      <c r="C3" s="107" t="s">
        <v>167</v>
      </c>
      <c r="D3" s="107" t="s">
        <v>168</v>
      </c>
      <c r="E3" s="107" t="s">
        <v>169</v>
      </c>
      <c r="F3" s="107" t="s">
        <v>170</v>
      </c>
      <c r="G3" s="107" t="s">
        <v>105</v>
      </c>
      <c r="H3" s="107" t="s">
        <v>171</v>
      </c>
      <c r="I3" s="107" t="s">
        <v>172</v>
      </c>
      <c r="J3" s="107" t="s">
        <v>173</v>
      </c>
      <c r="K3" s="107" t="s">
        <v>174</v>
      </c>
      <c r="L3" s="107" t="s">
        <v>175</v>
      </c>
      <c r="M3" s="107" t="s">
        <v>176</v>
      </c>
      <c r="N3" s="107" t="s">
        <v>177</v>
      </c>
      <c r="O3" s="107" t="s">
        <v>13</v>
      </c>
    </row>
    <row r="4">
      <c r="A4" s="108" t="s">
        <v>200</v>
      </c>
      <c r="B4" s="109"/>
      <c r="C4" s="110">
        <v>0.0</v>
      </c>
      <c r="D4" s="110">
        <v>0.0</v>
      </c>
      <c r="E4" s="110">
        <v>0.0</v>
      </c>
      <c r="F4" s="110">
        <v>0.88</v>
      </c>
      <c r="G4" s="110">
        <v>1.54</v>
      </c>
      <c r="H4" s="110">
        <v>2.16</v>
      </c>
      <c r="I4" s="110">
        <v>3.39</v>
      </c>
      <c r="J4" s="110">
        <v>4.31</v>
      </c>
      <c r="K4" s="110">
        <v>2.8</v>
      </c>
      <c r="L4" s="110">
        <v>1.19</v>
      </c>
      <c r="M4" s="110">
        <v>0.0</v>
      </c>
      <c r="N4" s="110">
        <v>0.0</v>
      </c>
      <c r="O4" s="110">
        <f t="shared" ref="O4:O9" si="1">SUM(C4:N4)</f>
        <v>16.27</v>
      </c>
    </row>
    <row r="5">
      <c r="A5" s="108" t="s">
        <v>201</v>
      </c>
      <c r="B5" s="109"/>
      <c r="C5" s="110">
        <v>0.0</v>
      </c>
      <c r="D5" s="110">
        <v>0.0</v>
      </c>
      <c r="E5" s="110">
        <v>0.0</v>
      </c>
      <c r="F5" s="110">
        <v>0.0</v>
      </c>
      <c r="G5" s="110">
        <v>0.76</v>
      </c>
      <c r="H5" s="110">
        <v>1.37</v>
      </c>
      <c r="I5" s="110">
        <v>1.83</v>
      </c>
      <c r="J5" s="110">
        <v>3.89</v>
      </c>
      <c r="K5" s="110">
        <v>1.59</v>
      </c>
      <c r="L5" s="110">
        <v>0.0</v>
      </c>
      <c r="M5" s="110">
        <v>0.0</v>
      </c>
      <c r="N5" s="110">
        <v>0.0</v>
      </c>
      <c r="O5" s="110">
        <f t="shared" si="1"/>
        <v>9.44</v>
      </c>
    </row>
    <row r="6">
      <c r="A6" s="108" t="s">
        <v>202</v>
      </c>
      <c r="B6" s="109"/>
      <c r="C6" s="110">
        <v>0.0</v>
      </c>
      <c r="D6" s="110">
        <v>0.0</v>
      </c>
      <c r="E6" s="110">
        <v>0.0</v>
      </c>
      <c r="F6" s="110">
        <v>0.0</v>
      </c>
      <c r="G6" s="110">
        <v>0.7</v>
      </c>
      <c r="H6" s="110">
        <v>1.05</v>
      </c>
      <c r="I6" s="110">
        <v>2.09</v>
      </c>
      <c r="J6" s="110">
        <v>3.19</v>
      </c>
      <c r="K6" s="110">
        <v>0.66</v>
      </c>
      <c r="L6" s="110">
        <v>0.0</v>
      </c>
      <c r="M6" s="110">
        <v>0.0</v>
      </c>
      <c r="N6" s="110">
        <v>0.0</v>
      </c>
      <c r="O6" s="110">
        <f t="shared" si="1"/>
        <v>7.69</v>
      </c>
    </row>
    <row r="7">
      <c r="A7" s="108" t="s">
        <v>203</v>
      </c>
      <c r="B7" s="109"/>
      <c r="C7" s="110">
        <v>0.0</v>
      </c>
      <c r="D7" s="110">
        <v>0.0</v>
      </c>
      <c r="E7" s="110">
        <v>0.0</v>
      </c>
      <c r="F7" s="110">
        <v>0.0</v>
      </c>
      <c r="G7" s="110">
        <v>0.22</v>
      </c>
      <c r="H7" s="110">
        <v>0.66</v>
      </c>
      <c r="I7" s="110">
        <v>1.46</v>
      </c>
      <c r="J7" s="110">
        <v>1.44</v>
      </c>
      <c r="K7" s="110">
        <v>0.0</v>
      </c>
      <c r="L7" s="110">
        <v>0.0</v>
      </c>
      <c r="M7" s="110">
        <v>0.0</v>
      </c>
      <c r="N7" s="110">
        <v>0.0</v>
      </c>
      <c r="O7" s="110">
        <f t="shared" si="1"/>
        <v>3.78</v>
      </c>
    </row>
    <row r="8">
      <c r="A8" s="108" t="s">
        <v>204</v>
      </c>
      <c r="B8" s="109"/>
      <c r="C8" s="110">
        <v>0.0</v>
      </c>
      <c r="D8" s="110">
        <v>0.0</v>
      </c>
      <c r="E8" s="110">
        <v>0.0</v>
      </c>
      <c r="F8" s="110">
        <v>0.0</v>
      </c>
      <c r="G8" s="110">
        <v>0.02</v>
      </c>
      <c r="H8" s="110">
        <v>0.35</v>
      </c>
      <c r="I8" s="110">
        <v>0.26</v>
      </c>
      <c r="J8" s="110">
        <v>0.25</v>
      </c>
      <c r="K8" s="110">
        <v>0.0</v>
      </c>
      <c r="L8" s="110">
        <v>0.0</v>
      </c>
      <c r="M8" s="110">
        <v>0.0</v>
      </c>
      <c r="N8" s="110">
        <v>0.0</v>
      </c>
      <c r="O8" s="110">
        <f t="shared" si="1"/>
        <v>0.88</v>
      </c>
    </row>
    <row r="9">
      <c r="A9" s="108" t="s">
        <v>205</v>
      </c>
      <c r="B9" s="109"/>
      <c r="C9" s="110">
        <v>0.0</v>
      </c>
      <c r="D9" s="110">
        <v>0.0</v>
      </c>
      <c r="E9" s="110">
        <v>0.0</v>
      </c>
      <c r="F9" s="110">
        <v>0.0</v>
      </c>
      <c r="G9" s="110">
        <v>0.02</v>
      </c>
      <c r="H9" s="110">
        <v>0.0</v>
      </c>
      <c r="I9" s="110">
        <v>0.02</v>
      </c>
      <c r="J9" s="110">
        <v>0.07</v>
      </c>
      <c r="K9" s="110">
        <v>0.0</v>
      </c>
      <c r="L9" s="110">
        <v>0.0</v>
      </c>
      <c r="M9" s="110">
        <v>0.0</v>
      </c>
      <c r="N9" s="110">
        <v>0.0</v>
      </c>
      <c r="O9" s="110">
        <f t="shared" si="1"/>
        <v>0.11</v>
      </c>
    </row>
    <row r="10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</row>
    <row r="1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>
      <c r="A14" s="103"/>
      <c r="B14" s="103"/>
      <c r="C14" s="111"/>
      <c r="D14" s="111"/>
      <c r="E14" s="111"/>
      <c r="F14" s="111"/>
      <c r="G14" s="111"/>
      <c r="H14" s="111"/>
      <c r="I14" s="103"/>
      <c r="J14" s="103"/>
      <c r="K14" s="103"/>
      <c r="L14" s="111"/>
      <c r="M14" s="111"/>
      <c r="N14" s="111"/>
      <c r="O14" s="111"/>
    </row>
    <row r="15">
      <c r="A15" s="105" t="s">
        <v>197</v>
      </c>
      <c r="B15" s="106" t="s">
        <v>199</v>
      </c>
      <c r="C15" s="107" t="s">
        <v>167</v>
      </c>
      <c r="D15" s="107" t="s">
        <v>168</v>
      </c>
      <c r="E15" s="107" t="s">
        <v>169</v>
      </c>
      <c r="F15" s="107" t="s">
        <v>170</v>
      </c>
      <c r="G15" s="107" t="s">
        <v>105</v>
      </c>
      <c r="H15" s="107" t="s">
        <v>171</v>
      </c>
      <c r="I15" s="107" t="s">
        <v>172</v>
      </c>
      <c r="J15" s="107" t="s">
        <v>173</v>
      </c>
      <c r="K15" s="107" t="s">
        <v>174</v>
      </c>
      <c r="L15" s="107" t="s">
        <v>175</v>
      </c>
      <c r="M15" s="107" t="s">
        <v>176</v>
      </c>
      <c r="N15" s="107" t="s">
        <v>177</v>
      </c>
      <c r="O15" s="107" t="s">
        <v>13</v>
      </c>
    </row>
    <row r="16">
      <c r="A16" s="108" t="s">
        <v>206</v>
      </c>
      <c r="B16" s="108"/>
      <c r="C16" s="112">
        <v>0.0</v>
      </c>
      <c r="D16" s="112">
        <v>0.0</v>
      </c>
      <c r="E16" s="112">
        <v>55.29</v>
      </c>
      <c r="F16" s="112">
        <v>371.89</v>
      </c>
      <c r="G16" s="112">
        <v>468.55</v>
      </c>
      <c r="H16" s="112">
        <v>884.07</v>
      </c>
      <c r="I16" s="112">
        <v>307.46</v>
      </c>
      <c r="J16" s="112">
        <v>235.84</v>
      </c>
      <c r="K16" s="112">
        <v>241.63</v>
      </c>
      <c r="L16" s="112">
        <v>189.74</v>
      </c>
      <c r="M16" s="112">
        <v>12.81</v>
      </c>
      <c r="N16" s="112">
        <v>0.0</v>
      </c>
      <c r="O16" s="110">
        <v>1037.0</v>
      </c>
    </row>
    <row r="17">
      <c r="A17" s="108" t="s">
        <v>207</v>
      </c>
      <c r="B17" s="108"/>
      <c r="C17" s="112">
        <v>0.0</v>
      </c>
      <c r="D17" s="112">
        <v>0.0</v>
      </c>
      <c r="E17" s="112">
        <v>233.45</v>
      </c>
      <c r="F17" s="112">
        <v>464.86</v>
      </c>
      <c r="G17" s="112">
        <v>623.45</v>
      </c>
      <c r="H17" s="112">
        <v>281.3</v>
      </c>
      <c r="I17" s="112">
        <v>162.77</v>
      </c>
      <c r="J17" s="112">
        <v>112.3</v>
      </c>
      <c r="K17" s="112">
        <v>230.12</v>
      </c>
      <c r="L17" s="112">
        <v>206.16</v>
      </c>
      <c r="M17" s="112">
        <v>122.98</v>
      </c>
      <c r="N17" s="112">
        <v>10.69</v>
      </c>
      <c r="O17" s="110">
        <v>836.0</v>
      </c>
    </row>
    <row r="18">
      <c r="A18" s="108" t="s">
        <v>208</v>
      </c>
      <c r="B18" s="108"/>
      <c r="C18" s="112">
        <v>0.0</v>
      </c>
      <c r="D18" s="112">
        <v>0.0</v>
      </c>
      <c r="E18" s="112">
        <v>258.03</v>
      </c>
      <c r="F18" s="112">
        <v>759.28</v>
      </c>
      <c r="G18" s="112">
        <v>503.41</v>
      </c>
      <c r="H18" s="112">
        <v>120.56</v>
      </c>
      <c r="I18" s="112">
        <v>68.32</v>
      </c>
      <c r="J18" s="112">
        <v>26.54</v>
      </c>
      <c r="K18" s="112">
        <v>125.13</v>
      </c>
      <c r="L18" s="112">
        <v>175.15</v>
      </c>
      <c r="M18" s="112">
        <v>99.92</v>
      </c>
      <c r="N18" s="112">
        <v>26.71</v>
      </c>
      <c r="O18" s="110">
        <v>584.0</v>
      </c>
    </row>
    <row r="19">
      <c r="A19" s="113" t="s">
        <v>209</v>
      </c>
      <c r="B19" s="108"/>
      <c r="C19" s="112">
        <v>333.18</v>
      </c>
      <c r="D19" s="112">
        <v>8.64</v>
      </c>
      <c r="E19" s="112">
        <v>288.74</v>
      </c>
      <c r="F19" s="112">
        <v>1487.57</v>
      </c>
      <c r="G19" s="112">
        <v>305.92</v>
      </c>
      <c r="H19" s="112">
        <v>111.63</v>
      </c>
      <c r="I19" s="112">
        <v>34.16</v>
      </c>
      <c r="J19" s="112">
        <v>2.04</v>
      </c>
      <c r="K19" s="112">
        <v>172.59</v>
      </c>
      <c r="L19" s="112">
        <v>308.33</v>
      </c>
      <c r="M19" s="112">
        <v>174.23</v>
      </c>
      <c r="N19" s="112">
        <v>112.19</v>
      </c>
      <c r="O19" s="110">
        <v>113.0</v>
      </c>
    </row>
    <row r="20">
      <c r="A20" s="108" t="s">
        <v>210</v>
      </c>
      <c r="B20" s="108"/>
      <c r="C20" s="112">
        <v>286.69</v>
      </c>
      <c r="D20" s="112">
        <v>224.54</v>
      </c>
      <c r="E20" s="112">
        <v>258.03</v>
      </c>
      <c r="F20" s="112">
        <v>1177.66</v>
      </c>
      <c r="G20" s="112">
        <v>271.06</v>
      </c>
      <c r="H20" s="112">
        <v>75.91</v>
      </c>
      <c r="I20" s="112">
        <v>0.0</v>
      </c>
      <c r="J20" s="112">
        <v>0.0</v>
      </c>
      <c r="K20" s="112">
        <v>44.59</v>
      </c>
      <c r="L20" s="112">
        <v>260.89</v>
      </c>
      <c r="M20" s="112">
        <v>289.52</v>
      </c>
      <c r="N20" s="112">
        <v>144.25</v>
      </c>
      <c r="O20" s="110">
        <v>784.0</v>
      </c>
    </row>
    <row r="21">
      <c r="A21" s="108" t="s">
        <v>211</v>
      </c>
      <c r="B21" s="108"/>
      <c r="C21" s="112">
        <v>402.92</v>
      </c>
      <c r="D21" s="112">
        <v>302.27</v>
      </c>
      <c r="E21" s="112">
        <v>731.07</v>
      </c>
      <c r="F21" s="112">
        <v>875.49</v>
      </c>
      <c r="G21" s="112">
        <v>73.57</v>
      </c>
      <c r="H21" s="112">
        <v>8.93</v>
      </c>
      <c r="I21" s="112">
        <v>0.0</v>
      </c>
      <c r="J21" s="112">
        <v>0.0</v>
      </c>
      <c r="K21" s="112">
        <v>34.52</v>
      </c>
      <c r="L21" s="112">
        <v>129.53</v>
      </c>
      <c r="M21" s="112">
        <v>609.79</v>
      </c>
      <c r="N21" s="112">
        <v>630.43</v>
      </c>
      <c r="O21" s="110">
        <v>658.0</v>
      </c>
    </row>
    <row r="22">
      <c r="A22" s="113" t="s">
        <v>212</v>
      </c>
      <c r="B22" s="108"/>
      <c r="C22" s="112">
        <v>883.32</v>
      </c>
      <c r="D22" s="112">
        <v>1114.08</v>
      </c>
      <c r="E22" s="112">
        <v>1191.84</v>
      </c>
      <c r="F22" s="112">
        <v>232.43</v>
      </c>
      <c r="G22" s="112">
        <v>7.74</v>
      </c>
      <c r="H22" s="112">
        <v>0.0</v>
      </c>
      <c r="I22" s="112">
        <v>0.0</v>
      </c>
      <c r="J22" s="112">
        <v>0.0</v>
      </c>
      <c r="K22" s="112">
        <v>0.0</v>
      </c>
      <c r="L22" s="112">
        <v>58.38</v>
      </c>
      <c r="M22" s="112">
        <v>450.94</v>
      </c>
      <c r="N22" s="112">
        <v>886.87</v>
      </c>
      <c r="O22" s="110">
        <v>791.0</v>
      </c>
    </row>
    <row r="23">
      <c r="A23" s="113" t="s">
        <v>213</v>
      </c>
      <c r="B23" s="108"/>
      <c r="C23" s="112">
        <v>588.88</v>
      </c>
      <c r="D23" s="112">
        <v>1122.72</v>
      </c>
      <c r="E23" s="112">
        <v>577.49</v>
      </c>
      <c r="F23" s="112">
        <v>85.23</v>
      </c>
      <c r="G23" s="112">
        <v>0.0</v>
      </c>
      <c r="H23" s="112">
        <v>0.0</v>
      </c>
      <c r="I23" s="112">
        <v>0.0</v>
      </c>
      <c r="J23" s="112">
        <v>0.0</v>
      </c>
      <c r="K23" s="112">
        <v>0.0</v>
      </c>
      <c r="L23" s="112">
        <v>12.77</v>
      </c>
      <c r="M23" s="112">
        <v>84.55</v>
      </c>
      <c r="N23" s="112">
        <v>577.0</v>
      </c>
      <c r="O23" s="110">
        <v>843.0</v>
      </c>
    </row>
    <row r="24">
      <c r="A24" s="113" t="s">
        <v>214</v>
      </c>
      <c r="B24" s="108"/>
      <c r="C24" s="112">
        <v>1069.28</v>
      </c>
      <c r="D24" s="112">
        <v>967.27</v>
      </c>
      <c r="E24" s="112">
        <v>399.33</v>
      </c>
      <c r="F24" s="112">
        <v>100.72</v>
      </c>
      <c r="G24" s="112">
        <v>0.0</v>
      </c>
      <c r="H24" s="112">
        <v>0.0</v>
      </c>
      <c r="I24" s="112">
        <v>0.0</v>
      </c>
      <c r="J24" s="112">
        <v>0.0</v>
      </c>
      <c r="K24" s="112">
        <v>0.0</v>
      </c>
      <c r="L24" s="112">
        <v>0.0</v>
      </c>
      <c r="M24" s="112">
        <v>0.0</v>
      </c>
      <c r="N24" s="112">
        <v>699.88</v>
      </c>
      <c r="O24" s="110">
        <v>459.0</v>
      </c>
    </row>
    <row r="25">
      <c r="A25" s="113" t="s">
        <v>215</v>
      </c>
      <c r="B25" s="108"/>
      <c r="C25" s="112">
        <v>612.12</v>
      </c>
      <c r="D25" s="112">
        <v>1157.27</v>
      </c>
      <c r="E25" s="112">
        <v>430.04</v>
      </c>
      <c r="F25" s="112">
        <v>0.0</v>
      </c>
      <c r="G25" s="112">
        <v>0.0</v>
      </c>
      <c r="H25" s="112">
        <v>0.0</v>
      </c>
      <c r="I25" s="112">
        <v>0.0</v>
      </c>
      <c r="J25" s="112">
        <v>0.0</v>
      </c>
      <c r="K25" s="112">
        <v>0.0</v>
      </c>
      <c r="L25" s="112">
        <v>0.0</v>
      </c>
      <c r="M25" s="112">
        <v>0.0</v>
      </c>
      <c r="N25" s="112">
        <v>678.51</v>
      </c>
      <c r="O25" s="110">
        <v>459.0</v>
      </c>
    </row>
    <row r="26">
      <c r="A26" s="113" t="s">
        <v>216</v>
      </c>
      <c r="B26" s="108"/>
      <c r="C26" s="112">
        <v>612.12</v>
      </c>
      <c r="D26" s="112">
        <v>492.27</v>
      </c>
      <c r="E26" s="112">
        <v>110.58</v>
      </c>
      <c r="F26" s="112">
        <v>0.0</v>
      </c>
      <c r="G26" s="112">
        <v>0.0</v>
      </c>
      <c r="H26" s="112">
        <v>0.0</v>
      </c>
      <c r="I26" s="112">
        <v>0.0</v>
      </c>
      <c r="J26" s="112">
        <v>0.0</v>
      </c>
      <c r="K26" s="112">
        <v>0.0</v>
      </c>
      <c r="L26" s="112">
        <v>0.0</v>
      </c>
      <c r="M26" s="112">
        <v>0.0</v>
      </c>
      <c r="N26" s="112">
        <v>165.62</v>
      </c>
      <c r="O26" s="110">
        <v>410.0</v>
      </c>
    </row>
    <row r="27">
      <c r="A27" s="113" t="s">
        <v>217</v>
      </c>
      <c r="B27" s="108"/>
      <c r="C27" s="112">
        <v>449.41</v>
      </c>
      <c r="D27" s="112">
        <v>354.09</v>
      </c>
      <c r="E27" s="112">
        <v>36.86</v>
      </c>
      <c r="F27" s="112">
        <v>0.0</v>
      </c>
      <c r="G27" s="112">
        <v>0.0</v>
      </c>
      <c r="H27" s="112">
        <v>0.0</v>
      </c>
      <c r="I27" s="112">
        <v>0.0</v>
      </c>
      <c r="J27" s="112">
        <v>0.0</v>
      </c>
      <c r="K27" s="112">
        <v>0.0</v>
      </c>
      <c r="L27" s="112">
        <v>0.0</v>
      </c>
      <c r="M27" s="112">
        <v>0.0</v>
      </c>
      <c r="N27" s="112">
        <v>42.74</v>
      </c>
      <c r="O27" s="110">
        <v>185.0</v>
      </c>
    </row>
    <row r="28">
      <c r="A28" s="113" t="s">
        <v>218</v>
      </c>
      <c r="B28" s="108"/>
      <c r="C28" s="112">
        <v>333.18</v>
      </c>
      <c r="D28" s="112">
        <v>60.45</v>
      </c>
      <c r="E28" s="112">
        <v>0.0</v>
      </c>
      <c r="F28" s="112">
        <v>0.0</v>
      </c>
      <c r="G28" s="112">
        <v>0.0</v>
      </c>
      <c r="H28" s="112">
        <v>0.0</v>
      </c>
      <c r="I28" s="112">
        <v>0.0</v>
      </c>
      <c r="J28" s="112">
        <v>0.0</v>
      </c>
      <c r="K28" s="112">
        <v>0.0</v>
      </c>
      <c r="L28" s="112">
        <v>0.0</v>
      </c>
      <c r="M28" s="112">
        <v>0.0</v>
      </c>
      <c r="N28" s="112">
        <v>0.0</v>
      </c>
      <c r="O28" s="110">
        <v>50.0</v>
      </c>
    </row>
    <row r="29">
      <c r="A29" s="113" t="s">
        <v>219</v>
      </c>
      <c r="B29" s="108"/>
      <c r="C29" s="112">
        <v>147.22</v>
      </c>
      <c r="D29" s="112">
        <v>0.0</v>
      </c>
      <c r="E29" s="112">
        <v>0.0</v>
      </c>
      <c r="F29" s="112">
        <v>0.0</v>
      </c>
      <c r="G29" s="112">
        <v>0.0</v>
      </c>
      <c r="H29" s="112">
        <v>0.0</v>
      </c>
      <c r="I29" s="112">
        <v>0.0</v>
      </c>
      <c r="J29" s="112">
        <v>0.0</v>
      </c>
      <c r="K29" s="112">
        <v>0.0</v>
      </c>
      <c r="L29" s="112">
        <v>0.0</v>
      </c>
      <c r="M29" s="112">
        <v>0.0</v>
      </c>
      <c r="N29" s="112">
        <v>0.0</v>
      </c>
      <c r="O29" s="110">
        <v>6.0</v>
      </c>
    </row>
    <row r="30">
      <c r="A30" s="114" t="s">
        <v>220</v>
      </c>
      <c r="B30" s="108"/>
      <c r="C30" s="112">
        <v>46.49</v>
      </c>
      <c r="D30" s="112">
        <v>0.0</v>
      </c>
      <c r="E30" s="112">
        <v>0.0</v>
      </c>
      <c r="F30" s="112">
        <v>0.0</v>
      </c>
      <c r="G30" s="112">
        <v>0.0</v>
      </c>
      <c r="H30" s="112">
        <v>0.0</v>
      </c>
      <c r="I30" s="112">
        <v>0.0</v>
      </c>
      <c r="J30" s="112">
        <v>0.0</v>
      </c>
      <c r="K30" s="112">
        <v>0.0</v>
      </c>
      <c r="L30" s="112">
        <v>0.0</v>
      </c>
      <c r="M30" s="112">
        <v>0.0</v>
      </c>
      <c r="N30" s="112">
        <v>0.0</v>
      </c>
      <c r="O30" s="110">
        <v>19.0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15" t="s">
        <v>221</v>
      </c>
      <c r="B1" s="116" t="s">
        <v>167</v>
      </c>
      <c r="C1" s="116" t="s">
        <v>168</v>
      </c>
      <c r="D1" s="116" t="s">
        <v>169</v>
      </c>
      <c r="E1" s="116" t="s">
        <v>170</v>
      </c>
      <c r="F1" s="116" t="s">
        <v>105</v>
      </c>
      <c r="G1" s="116" t="s">
        <v>171</v>
      </c>
      <c r="H1" s="116" t="s">
        <v>172</v>
      </c>
      <c r="I1" s="116" t="s">
        <v>173</v>
      </c>
      <c r="J1" s="116" t="s">
        <v>174</v>
      </c>
      <c r="K1" s="116" t="s">
        <v>175</v>
      </c>
      <c r="L1" s="116" t="s">
        <v>176</v>
      </c>
      <c r="M1" s="116" t="s">
        <v>177</v>
      </c>
      <c r="N1" s="103"/>
      <c r="O1" s="103"/>
      <c r="P1" s="103"/>
      <c r="Q1" s="103"/>
      <c r="R1" s="103"/>
      <c r="S1" s="103"/>
      <c r="T1" s="103"/>
      <c r="U1" s="103"/>
      <c r="V1" s="103"/>
    </row>
    <row r="2">
      <c r="A2" s="117" t="s">
        <v>205</v>
      </c>
      <c r="B2" s="118">
        <v>0.0</v>
      </c>
      <c r="C2" s="118">
        <v>0.0</v>
      </c>
      <c r="D2" s="118">
        <v>0.0</v>
      </c>
      <c r="E2" s="118">
        <v>0.0</v>
      </c>
      <c r="F2" s="118">
        <v>0.02</v>
      </c>
      <c r="G2" s="118">
        <v>0.0</v>
      </c>
      <c r="H2" s="118">
        <v>0.02</v>
      </c>
      <c r="I2" s="118">
        <v>0.07</v>
      </c>
      <c r="J2" s="118">
        <v>0.0</v>
      </c>
      <c r="K2" s="118">
        <v>0.0</v>
      </c>
      <c r="L2" s="118">
        <v>0.0</v>
      </c>
      <c r="M2" s="118">
        <v>0.0</v>
      </c>
      <c r="N2" s="103"/>
      <c r="O2" s="103"/>
      <c r="P2" s="103"/>
      <c r="Q2" s="103"/>
      <c r="R2" s="103"/>
      <c r="S2" s="103"/>
      <c r="T2" s="103"/>
      <c r="U2" s="103"/>
      <c r="V2" s="103"/>
    </row>
    <row r="3">
      <c r="A3" s="117" t="s">
        <v>204</v>
      </c>
      <c r="B3" s="118">
        <v>0.0</v>
      </c>
      <c r="C3" s="118">
        <v>0.0</v>
      </c>
      <c r="D3" s="118">
        <v>0.0</v>
      </c>
      <c r="E3" s="118">
        <v>0.0</v>
      </c>
      <c r="F3" s="118">
        <v>0.02</v>
      </c>
      <c r="G3" s="118">
        <v>0.35</v>
      </c>
      <c r="H3" s="118">
        <v>0.26</v>
      </c>
      <c r="I3" s="118">
        <v>0.25</v>
      </c>
      <c r="J3" s="118">
        <v>0.0</v>
      </c>
      <c r="K3" s="118">
        <v>0.0</v>
      </c>
      <c r="L3" s="118">
        <v>0.0</v>
      </c>
      <c r="M3" s="118">
        <v>0.0</v>
      </c>
      <c r="N3" s="103"/>
      <c r="O3" s="103"/>
      <c r="P3" s="103"/>
      <c r="Q3" s="103"/>
      <c r="R3" s="103"/>
      <c r="S3" s="103"/>
      <c r="T3" s="103"/>
      <c r="U3" s="103"/>
      <c r="V3" s="103"/>
    </row>
    <row r="4">
      <c r="A4" s="117" t="s">
        <v>203</v>
      </c>
      <c r="B4" s="118">
        <v>0.0</v>
      </c>
      <c r="C4" s="118">
        <v>0.0</v>
      </c>
      <c r="D4" s="118">
        <v>0.0</v>
      </c>
      <c r="E4" s="118">
        <v>0.0</v>
      </c>
      <c r="F4" s="118">
        <v>0.22</v>
      </c>
      <c r="G4" s="118">
        <v>0.66</v>
      </c>
      <c r="H4" s="118">
        <v>1.46</v>
      </c>
      <c r="I4" s="118">
        <v>1.44</v>
      </c>
      <c r="J4" s="118">
        <v>0.0</v>
      </c>
      <c r="K4" s="118">
        <v>0.0</v>
      </c>
      <c r="L4" s="118">
        <v>0.0</v>
      </c>
      <c r="M4" s="118">
        <v>0.0</v>
      </c>
      <c r="N4" s="103"/>
      <c r="O4" s="103"/>
      <c r="P4" s="103"/>
      <c r="Q4" s="103"/>
      <c r="R4" s="103"/>
      <c r="S4" s="103"/>
      <c r="T4" s="103"/>
      <c r="U4" s="103"/>
      <c r="V4" s="103"/>
    </row>
    <row r="5">
      <c r="A5" s="117" t="s">
        <v>202</v>
      </c>
      <c r="B5" s="118">
        <v>0.0</v>
      </c>
      <c r="C5" s="118">
        <v>0.0</v>
      </c>
      <c r="D5" s="118">
        <v>0.0</v>
      </c>
      <c r="E5" s="118">
        <v>0.0</v>
      </c>
      <c r="F5" s="118">
        <v>0.7</v>
      </c>
      <c r="G5" s="118">
        <v>1.05</v>
      </c>
      <c r="H5" s="118">
        <v>2.09</v>
      </c>
      <c r="I5" s="118">
        <v>3.19</v>
      </c>
      <c r="J5" s="118">
        <v>0.66</v>
      </c>
      <c r="K5" s="118">
        <v>0.0</v>
      </c>
      <c r="L5" s="118">
        <v>0.0</v>
      </c>
      <c r="M5" s="118">
        <v>0.0</v>
      </c>
      <c r="N5" s="103"/>
      <c r="O5" s="103"/>
      <c r="P5" s="103"/>
      <c r="Q5" s="103"/>
      <c r="R5" s="103"/>
      <c r="S5" s="103"/>
      <c r="T5" s="103"/>
      <c r="U5" s="103"/>
      <c r="V5" s="103"/>
    </row>
    <row r="6">
      <c r="A6" s="117" t="s">
        <v>201</v>
      </c>
      <c r="B6" s="118">
        <v>0.0</v>
      </c>
      <c r="C6" s="118">
        <v>0.0</v>
      </c>
      <c r="D6" s="118">
        <v>0.0</v>
      </c>
      <c r="E6" s="118">
        <v>0.0</v>
      </c>
      <c r="F6" s="118">
        <v>0.76</v>
      </c>
      <c r="G6" s="118">
        <v>1.37</v>
      </c>
      <c r="H6" s="118">
        <v>1.83</v>
      </c>
      <c r="I6" s="118">
        <v>3.89</v>
      </c>
      <c r="J6" s="118">
        <v>1.59</v>
      </c>
      <c r="K6" s="118">
        <v>0.0</v>
      </c>
      <c r="L6" s="118">
        <v>0.0</v>
      </c>
      <c r="M6" s="118">
        <v>0.0</v>
      </c>
      <c r="N6" s="103"/>
      <c r="O6" s="103"/>
      <c r="P6" s="103"/>
      <c r="Q6" s="103"/>
      <c r="R6" s="103"/>
      <c r="S6" s="103"/>
      <c r="T6" s="103"/>
      <c r="U6" s="103"/>
      <c r="V6" s="103"/>
    </row>
    <row r="7">
      <c r="A7" s="117" t="s">
        <v>200</v>
      </c>
      <c r="B7" s="118">
        <v>0.0</v>
      </c>
      <c r="C7" s="118">
        <v>0.0</v>
      </c>
      <c r="D7" s="118">
        <v>0.0</v>
      </c>
      <c r="E7" s="118">
        <v>0.88</v>
      </c>
      <c r="F7" s="118">
        <v>1.54</v>
      </c>
      <c r="G7" s="118">
        <v>2.16</v>
      </c>
      <c r="H7" s="118">
        <v>3.39</v>
      </c>
      <c r="I7" s="118">
        <v>4.31</v>
      </c>
      <c r="J7" s="118">
        <v>2.8</v>
      </c>
      <c r="K7" s="118">
        <v>1.19</v>
      </c>
      <c r="L7" s="118">
        <v>0.0</v>
      </c>
      <c r="M7" s="118">
        <v>0.0</v>
      </c>
      <c r="N7" s="103"/>
      <c r="O7" s="103"/>
      <c r="P7" s="103"/>
      <c r="Q7" s="103"/>
      <c r="R7" s="103"/>
      <c r="S7" s="103"/>
      <c r="T7" s="103"/>
      <c r="U7" s="103"/>
      <c r="V7" s="103"/>
    </row>
    <row r="8">
      <c r="A8" s="117" t="s">
        <v>206</v>
      </c>
      <c r="B8" s="119">
        <v>0.0</v>
      </c>
      <c r="C8" s="119">
        <v>0.0</v>
      </c>
      <c r="D8" s="119">
        <v>-55.29</v>
      </c>
      <c r="E8" s="119">
        <v>-371.89</v>
      </c>
      <c r="F8" s="119">
        <v>-468.55</v>
      </c>
      <c r="G8" s="119">
        <v>-884.07</v>
      </c>
      <c r="H8" s="119">
        <v>-307.46</v>
      </c>
      <c r="I8" s="119">
        <v>-235.84</v>
      </c>
      <c r="J8" s="119">
        <v>-241.63</v>
      </c>
      <c r="K8" s="119">
        <v>-189.74</v>
      </c>
      <c r="L8" s="119">
        <v>-12.81</v>
      </c>
      <c r="M8" s="119">
        <v>0.0</v>
      </c>
      <c r="N8" s="103"/>
      <c r="O8" s="103"/>
      <c r="P8" s="103"/>
      <c r="Q8" s="103"/>
      <c r="R8" s="103"/>
      <c r="S8" s="103"/>
      <c r="T8" s="103"/>
      <c r="U8" s="103"/>
      <c r="V8" s="103"/>
    </row>
    <row r="9">
      <c r="A9" s="117" t="s">
        <v>207</v>
      </c>
      <c r="B9" s="119">
        <v>0.0</v>
      </c>
      <c r="C9" s="119">
        <v>0.0</v>
      </c>
      <c r="D9" s="119">
        <v>-233.45</v>
      </c>
      <c r="E9" s="119">
        <v>-464.86</v>
      </c>
      <c r="F9" s="119">
        <v>-623.45</v>
      </c>
      <c r="G9" s="119">
        <v>-281.3</v>
      </c>
      <c r="H9" s="119">
        <v>-162.77</v>
      </c>
      <c r="I9" s="119">
        <v>-112.3</v>
      </c>
      <c r="J9" s="119">
        <v>-230.12</v>
      </c>
      <c r="K9" s="119">
        <v>-206.16</v>
      </c>
      <c r="L9" s="119">
        <v>-122.98</v>
      </c>
      <c r="M9" s="119">
        <v>-10.69</v>
      </c>
      <c r="N9" s="103"/>
      <c r="O9" s="103"/>
      <c r="P9" s="103"/>
      <c r="Q9" s="103"/>
      <c r="R9" s="103"/>
      <c r="S9" s="103"/>
      <c r="T9" s="103"/>
      <c r="U9" s="103"/>
      <c r="V9" s="103"/>
    </row>
    <row r="10">
      <c r="A10" s="117" t="s">
        <v>208</v>
      </c>
      <c r="B10" s="119">
        <v>0.0</v>
      </c>
      <c r="C10" s="119">
        <v>0.0</v>
      </c>
      <c r="D10" s="119">
        <v>-258.03</v>
      </c>
      <c r="E10" s="119">
        <v>-759.28</v>
      </c>
      <c r="F10" s="119">
        <v>-503.41</v>
      </c>
      <c r="G10" s="119">
        <v>-120.56</v>
      </c>
      <c r="H10" s="119">
        <v>-68.32</v>
      </c>
      <c r="I10" s="119">
        <v>-26.54</v>
      </c>
      <c r="J10" s="119">
        <v>-125.13</v>
      </c>
      <c r="K10" s="119">
        <v>-175.15</v>
      </c>
      <c r="L10" s="119">
        <v>-99.92</v>
      </c>
      <c r="M10" s="119">
        <v>-26.71</v>
      </c>
      <c r="N10" s="103"/>
      <c r="O10" s="103"/>
      <c r="P10" s="103"/>
      <c r="Q10" s="103"/>
      <c r="R10" s="103"/>
      <c r="S10" s="103"/>
      <c r="T10" s="103"/>
      <c r="U10" s="103"/>
      <c r="V10" s="103"/>
    </row>
    <row r="11">
      <c r="A11" s="120" t="s">
        <v>209</v>
      </c>
      <c r="B11" s="119">
        <v>-333.18</v>
      </c>
      <c r="C11" s="119">
        <v>-8.64</v>
      </c>
      <c r="D11" s="119">
        <v>-288.74</v>
      </c>
      <c r="E11" s="119">
        <v>-1487.57</v>
      </c>
      <c r="F11" s="119">
        <v>-305.92</v>
      </c>
      <c r="G11" s="119">
        <v>-111.63</v>
      </c>
      <c r="H11" s="119">
        <v>-34.16</v>
      </c>
      <c r="I11" s="119">
        <v>-2.04</v>
      </c>
      <c r="J11" s="119">
        <v>-172.59</v>
      </c>
      <c r="K11" s="119">
        <v>-308.33</v>
      </c>
      <c r="L11" s="119">
        <v>-174.23</v>
      </c>
      <c r="M11" s="119">
        <v>-112.19</v>
      </c>
      <c r="N11" s="103"/>
      <c r="O11" s="103"/>
      <c r="P11" s="103"/>
      <c r="Q11" s="103"/>
      <c r="R11" s="103"/>
      <c r="S11" s="103"/>
      <c r="T11" s="103"/>
      <c r="U11" s="103"/>
      <c r="V11" s="103"/>
    </row>
    <row r="12">
      <c r="A12" s="117" t="s">
        <v>210</v>
      </c>
      <c r="B12" s="119">
        <v>-286.69</v>
      </c>
      <c r="C12" s="119">
        <v>-224.54</v>
      </c>
      <c r="D12" s="119">
        <v>-258.03</v>
      </c>
      <c r="E12" s="119">
        <v>-1177.66</v>
      </c>
      <c r="F12" s="119">
        <v>-271.06</v>
      </c>
      <c r="G12" s="119">
        <v>-75.91</v>
      </c>
      <c r="H12" s="119">
        <v>0.0</v>
      </c>
      <c r="I12" s="119">
        <v>0.0</v>
      </c>
      <c r="J12" s="119">
        <v>-44.59</v>
      </c>
      <c r="K12" s="119">
        <v>-260.89</v>
      </c>
      <c r="L12" s="119">
        <v>-289.52</v>
      </c>
      <c r="M12" s="119">
        <v>-144.25</v>
      </c>
      <c r="N12" s="103"/>
      <c r="O12" s="103"/>
      <c r="P12" s="103"/>
      <c r="Q12" s="103"/>
      <c r="R12" s="103"/>
      <c r="S12" s="103"/>
      <c r="T12" s="103"/>
      <c r="U12" s="103"/>
      <c r="V12" s="103"/>
    </row>
    <row r="13">
      <c r="A13" s="117" t="s">
        <v>211</v>
      </c>
      <c r="B13" s="119">
        <v>-402.92</v>
      </c>
      <c r="C13" s="119">
        <v>-302.27</v>
      </c>
      <c r="D13" s="119">
        <v>-731.07</v>
      </c>
      <c r="E13" s="119">
        <v>-875.49</v>
      </c>
      <c r="F13" s="119">
        <v>-73.57</v>
      </c>
      <c r="G13" s="119">
        <v>-8.93</v>
      </c>
      <c r="H13" s="119">
        <v>0.0</v>
      </c>
      <c r="I13" s="119">
        <v>0.0</v>
      </c>
      <c r="J13" s="119">
        <v>-34.52</v>
      </c>
      <c r="K13" s="119">
        <v>-129.53</v>
      </c>
      <c r="L13" s="119">
        <v>-609.79</v>
      </c>
      <c r="M13" s="119">
        <v>-630.43</v>
      </c>
      <c r="N13" s="103"/>
      <c r="O13" s="103"/>
      <c r="P13" s="103"/>
      <c r="Q13" s="103"/>
      <c r="R13" s="103"/>
      <c r="S13" s="103"/>
      <c r="T13" s="103"/>
      <c r="U13" s="103"/>
      <c r="V13" s="103"/>
    </row>
    <row r="14">
      <c r="A14" s="120" t="s">
        <v>212</v>
      </c>
      <c r="B14" s="119">
        <v>-883.32</v>
      </c>
      <c r="C14" s="119">
        <v>-1114.08</v>
      </c>
      <c r="D14" s="119">
        <v>-1191.84</v>
      </c>
      <c r="E14" s="119">
        <v>-232.43</v>
      </c>
      <c r="F14" s="119">
        <v>-7.74</v>
      </c>
      <c r="G14" s="119">
        <v>0.0</v>
      </c>
      <c r="H14" s="119">
        <v>0.0</v>
      </c>
      <c r="I14" s="119">
        <v>0.0</v>
      </c>
      <c r="J14" s="119">
        <v>0.0</v>
      </c>
      <c r="K14" s="119">
        <v>-58.38</v>
      </c>
      <c r="L14" s="119">
        <v>-450.94</v>
      </c>
      <c r="M14" s="119">
        <v>-886.87</v>
      </c>
      <c r="N14" s="103"/>
      <c r="O14" s="103"/>
      <c r="P14" s="103"/>
      <c r="Q14" s="103"/>
      <c r="R14" s="103"/>
      <c r="S14" s="103"/>
      <c r="T14" s="103"/>
      <c r="U14" s="103"/>
      <c r="V14" s="103"/>
    </row>
    <row r="15">
      <c r="A15" s="120" t="s">
        <v>213</v>
      </c>
      <c r="B15" s="119">
        <v>-588.88</v>
      </c>
      <c r="C15" s="119">
        <v>-1122.72</v>
      </c>
      <c r="D15" s="119">
        <v>-577.49</v>
      </c>
      <c r="E15" s="119">
        <v>-85.23</v>
      </c>
      <c r="F15" s="119">
        <v>0.0</v>
      </c>
      <c r="G15" s="119">
        <v>0.0</v>
      </c>
      <c r="H15" s="119">
        <v>0.0</v>
      </c>
      <c r="I15" s="119">
        <v>0.0</v>
      </c>
      <c r="J15" s="119">
        <v>0.0</v>
      </c>
      <c r="K15" s="119">
        <v>-12.77</v>
      </c>
      <c r="L15" s="119">
        <v>-84.55</v>
      </c>
      <c r="M15" s="119">
        <v>-577.0</v>
      </c>
      <c r="N15" s="103"/>
      <c r="O15" s="103"/>
      <c r="P15" s="103"/>
      <c r="Q15" s="103"/>
      <c r="R15" s="103"/>
      <c r="S15" s="103"/>
      <c r="T15" s="103"/>
      <c r="U15" s="103"/>
      <c r="V15" s="103"/>
    </row>
    <row r="16">
      <c r="A16" s="120" t="s">
        <v>214</v>
      </c>
      <c r="B16" s="119">
        <v>-1069.28</v>
      </c>
      <c r="C16" s="119">
        <v>-967.27</v>
      </c>
      <c r="D16" s="119">
        <v>-399.33</v>
      </c>
      <c r="E16" s="119">
        <v>-100.72</v>
      </c>
      <c r="F16" s="119">
        <v>0.0</v>
      </c>
      <c r="G16" s="119">
        <v>0.0</v>
      </c>
      <c r="H16" s="119">
        <v>0.0</v>
      </c>
      <c r="I16" s="119">
        <v>0.0</v>
      </c>
      <c r="J16" s="119">
        <v>0.0</v>
      </c>
      <c r="K16" s="119">
        <v>0.0</v>
      </c>
      <c r="L16" s="119">
        <v>0.0</v>
      </c>
      <c r="M16" s="119">
        <v>-699.88</v>
      </c>
      <c r="N16" s="103"/>
      <c r="O16" s="103"/>
      <c r="P16" s="103"/>
      <c r="Q16" s="103"/>
      <c r="R16" s="103"/>
      <c r="S16" s="103"/>
      <c r="T16" s="103"/>
      <c r="U16" s="103"/>
      <c r="V16" s="103"/>
    </row>
    <row r="17">
      <c r="A17" s="120" t="s">
        <v>215</v>
      </c>
      <c r="B17" s="119">
        <v>-612.12</v>
      </c>
      <c r="C17" s="119">
        <v>-1157.27</v>
      </c>
      <c r="D17" s="119">
        <v>-430.04</v>
      </c>
      <c r="E17" s="119">
        <v>0.0</v>
      </c>
      <c r="F17" s="119">
        <v>0.0</v>
      </c>
      <c r="G17" s="119">
        <v>0.0</v>
      </c>
      <c r="H17" s="119">
        <v>0.0</v>
      </c>
      <c r="I17" s="119">
        <v>0.0</v>
      </c>
      <c r="J17" s="119">
        <v>0.0</v>
      </c>
      <c r="K17" s="119">
        <v>0.0</v>
      </c>
      <c r="L17" s="119">
        <v>0.0</v>
      </c>
      <c r="M17" s="119">
        <v>-678.51</v>
      </c>
      <c r="N17" s="103"/>
      <c r="O17" s="103"/>
      <c r="P17" s="103"/>
      <c r="Q17" s="103"/>
      <c r="R17" s="103"/>
      <c r="S17" s="103"/>
      <c r="T17" s="103"/>
      <c r="U17" s="103"/>
      <c r="V17" s="103"/>
    </row>
    <row r="18">
      <c r="A18" s="120" t="s">
        <v>216</v>
      </c>
      <c r="B18" s="119">
        <v>-612.12</v>
      </c>
      <c r="C18" s="119">
        <v>-492.27</v>
      </c>
      <c r="D18" s="119">
        <v>-110.58</v>
      </c>
      <c r="E18" s="119">
        <v>0.0</v>
      </c>
      <c r="F18" s="119">
        <v>0.0</v>
      </c>
      <c r="G18" s="119">
        <v>0.0</v>
      </c>
      <c r="H18" s="119">
        <v>0.0</v>
      </c>
      <c r="I18" s="119">
        <v>0.0</v>
      </c>
      <c r="J18" s="119">
        <v>0.0</v>
      </c>
      <c r="K18" s="119">
        <v>0.0</v>
      </c>
      <c r="L18" s="119">
        <v>0.0</v>
      </c>
      <c r="M18" s="119">
        <v>-165.62</v>
      </c>
      <c r="N18" s="103"/>
      <c r="O18" s="103"/>
      <c r="P18" s="103"/>
      <c r="Q18" s="103"/>
      <c r="R18" s="103"/>
      <c r="S18" s="103"/>
      <c r="T18" s="103"/>
      <c r="U18" s="103"/>
      <c r="V18" s="103"/>
    </row>
    <row r="19">
      <c r="A19" s="120" t="s">
        <v>217</v>
      </c>
      <c r="B19" s="119">
        <v>-449.41</v>
      </c>
      <c r="C19" s="119">
        <v>-354.09</v>
      </c>
      <c r="D19" s="119">
        <v>-36.86</v>
      </c>
      <c r="E19" s="119">
        <v>0.0</v>
      </c>
      <c r="F19" s="119">
        <v>0.0</v>
      </c>
      <c r="G19" s="119">
        <v>0.0</v>
      </c>
      <c r="H19" s="119">
        <v>0.0</v>
      </c>
      <c r="I19" s="119">
        <v>0.0</v>
      </c>
      <c r="J19" s="119">
        <v>0.0</v>
      </c>
      <c r="K19" s="119">
        <v>0.0</v>
      </c>
      <c r="L19" s="119">
        <v>0.0</v>
      </c>
      <c r="M19" s="119">
        <v>-42.74</v>
      </c>
      <c r="N19" s="103"/>
      <c r="O19" s="103"/>
      <c r="P19" s="103"/>
      <c r="Q19" s="103"/>
      <c r="R19" s="103"/>
      <c r="S19" s="103"/>
      <c r="T19" s="103"/>
      <c r="U19" s="103"/>
      <c r="V19" s="103"/>
    </row>
    <row r="20">
      <c r="A20" s="120" t="s">
        <v>218</v>
      </c>
      <c r="B20" s="119">
        <v>-333.18</v>
      </c>
      <c r="C20" s="119">
        <v>-60.45</v>
      </c>
      <c r="D20" s="119">
        <v>0.0</v>
      </c>
      <c r="E20" s="119">
        <v>0.0</v>
      </c>
      <c r="F20" s="119">
        <v>0.0</v>
      </c>
      <c r="G20" s="119">
        <v>0.0</v>
      </c>
      <c r="H20" s="119">
        <v>0.0</v>
      </c>
      <c r="I20" s="119">
        <v>0.0</v>
      </c>
      <c r="J20" s="119">
        <v>0.0</v>
      </c>
      <c r="K20" s="119">
        <v>0.0</v>
      </c>
      <c r="L20" s="119">
        <v>0.0</v>
      </c>
      <c r="M20" s="119">
        <v>0.0</v>
      </c>
      <c r="N20" s="103"/>
      <c r="O20" s="103"/>
      <c r="P20" s="103"/>
      <c r="Q20" s="103"/>
      <c r="R20" s="103"/>
      <c r="S20" s="103"/>
      <c r="T20" s="103"/>
      <c r="U20" s="103"/>
      <c r="V20" s="103"/>
    </row>
    <row r="21">
      <c r="A21" s="120" t="s">
        <v>219</v>
      </c>
      <c r="B21" s="119">
        <v>-147.22</v>
      </c>
      <c r="C21" s="119">
        <v>0.0</v>
      </c>
      <c r="D21" s="119">
        <v>0.0</v>
      </c>
      <c r="E21" s="119">
        <v>0.0</v>
      </c>
      <c r="F21" s="119">
        <v>0.0</v>
      </c>
      <c r="G21" s="119">
        <v>0.0</v>
      </c>
      <c r="H21" s="119">
        <v>0.0</v>
      </c>
      <c r="I21" s="119">
        <v>0.0</v>
      </c>
      <c r="J21" s="119">
        <v>0.0</v>
      </c>
      <c r="K21" s="119">
        <v>0.0</v>
      </c>
      <c r="L21" s="119">
        <v>0.0</v>
      </c>
      <c r="M21" s="119">
        <v>0.0</v>
      </c>
      <c r="N21" s="103"/>
      <c r="O21" s="103"/>
      <c r="P21" s="103"/>
      <c r="Q21" s="103"/>
      <c r="R21" s="103"/>
      <c r="S21" s="103"/>
      <c r="T21" s="103"/>
      <c r="U21" s="103"/>
      <c r="V21" s="103"/>
    </row>
    <row r="22">
      <c r="A22" s="121" t="s">
        <v>220</v>
      </c>
      <c r="B22" s="119">
        <v>-46.49</v>
      </c>
      <c r="C22" s="119">
        <v>0.0</v>
      </c>
      <c r="D22" s="119">
        <v>0.0</v>
      </c>
      <c r="E22" s="119">
        <v>0.0</v>
      </c>
      <c r="F22" s="119">
        <v>0.0</v>
      </c>
      <c r="G22" s="119">
        <v>0.0</v>
      </c>
      <c r="H22" s="119">
        <v>0.0</v>
      </c>
      <c r="I22" s="119">
        <v>0.0</v>
      </c>
      <c r="J22" s="119">
        <v>0.0</v>
      </c>
      <c r="K22" s="119">
        <v>0.0</v>
      </c>
      <c r="L22" s="119">
        <v>0.0</v>
      </c>
      <c r="M22" s="119">
        <v>0.0</v>
      </c>
      <c r="N22" s="103"/>
      <c r="O22" s="103"/>
      <c r="P22" s="103"/>
      <c r="Q22" s="103"/>
      <c r="R22" s="103"/>
      <c r="S22" s="103"/>
      <c r="T22" s="103"/>
      <c r="U22" s="103"/>
      <c r="V22" s="103"/>
    </row>
    <row r="23">
      <c r="A23" s="122" t="s">
        <v>13</v>
      </c>
      <c r="B23" s="123">
        <v>-5764.81</v>
      </c>
      <c r="C23" s="123">
        <v>-5803.6</v>
      </c>
      <c r="D23" s="123">
        <v>-4570.75</v>
      </c>
      <c r="E23" s="123">
        <v>-5554.25</v>
      </c>
      <c r="F23" s="123">
        <v>-2250.44</v>
      </c>
      <c r="G23" s="123">
        <v>-1476.81</v>
      </c>
      <c r="H23" s="123">
        <v>-563.66</v>
      </c>
      <c r="I23" s="123">
        <v>-363.57</v>
      </c>
      <c r="J23" s="123">
        <v>-843.53</v>
      </c>
      <c r="K23" s="123">
        <v>-1339.76</v>
      </c>
      <c r="L23" s="123">
        <v>-1844.74</v>
      </c>
      <c r="M23" s="123">
        <v>-3974.89</v>
      </c>
      <c r="N23" s="103"/>
      <c r="O23" s="103"/>
      <c r="P23" s="103"/>
      <c r="Q23" s="103"/>
      <c r="R23" s="103"/>
      <c r="S23" s="103"/>
      <c r="T23" s="103"/>
      <c r="U23" s="103"/>
      <c r="V23" s="103"/>
    </row>
    <row r="24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</row>
    <row r="2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</row>
    <row r="28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</row>
    <row r="29">
      <c r="A29" s="124" t="s">
        <v>167</v>
      </c>
      <c r="B29" s="125">
        <v>0.0</v>
      </c>
      <c r="C29" s="125">
        <v>0.0</v>
      </c>
      <c r="D29" s="125">
        <v>0.0</v>
      </c>
      <c r="E29" s="125">
        <v>0.0</v>
      </c>
      <c r="F29" s="125">
        <v>0.0</v>
      </c>
      <c r="G29" s="125">
        <v>0.0</v>
      </c>
      <c r="H29" s="125">
        <v>0.0</v>
      </c>
      <c r="I29" s="125">
        <v>0.0</v>
      </c>
      <c r="J29" s="125">
        <v>0.0</v>
      </c>
      <c r="K29" s="125">
        <v>-333.18</v>
      </c>
      <c r="L29" s="125">
        <v>-286.69</v>
      </c>
      <c r="M29" s="125">
        <v>-402.92</v>
      </c>
      <c r="N29" s="125">
        <v>-883.32</v>
      </c>
      <c r="O29" s="125">
        <v>-588.88</v>
      </c>
      <c r="P29" s="125">
        <v>-1069.28</v>
      </c>
      <c r="Q29" s="125">
        <v>-612.12</v>
      </c>
      <c r="R29" s="125">
        <v>-612.12</v>
      </c>
      <c r="S29" s="125">
        <v>-449.41</v>
      </c>
      <c r="T29" s="125">
        <v>-333.18</v>
      </c>
      <c r="U29" s="125">
        <v>-147.22</v>
      </c>
      <c r="V29" s="125">
        <v>-46.49</v>
      </c>
    </row>
    <row r="30">
      <c r="A30" s="124" t="s">
        <v>168</v>
      </c>
      <c r="B30" s="125">
        <v>0.0</v>
      </c>
      <c r="C30" s="125">
        <v>0.0</v>
      </c>
      <c r="D30" s="125">
        <v>0.0</v>
      </c>
      <c r="E30" s="125">
        <v>0.0</v>
      </c>
      <c r="F30" s="125">
        <v>0.0</v>
      </c>
      <c r="G30" s="125">
        <v>0.0</v>
      </c>
      <c r="H30" s="125">
        <v>0.0</v>
      </c>
      <c r="I30" s="125">
        <v>0.0</v>
      </c>
      <c r="J30" s="125">
        <v>0.0</v>
      </c>
      <c r="K30" s="125">
        <v>-8.64</v>
      </c>
      <c r="L30" s="125">
        <v>-224.54</v>
      </c>
      <c r="M30" s="125">
        <v>-302.27</v>
      </c>
      <c r="N30" s="125">
        <v>-1114.08</v>
      </c>
      <c r="O30" s="125">
        <v>-1122.72</v>
      </c>
      <c r="P30" s="125">
        <v>-967.27</v>
      </c>
      <c r="Q30" s="125">
        <v>-1157.27</v>
      </c>
      <c r="R30" s="125">
        <v>-492.27</v>
      </c>
      <c r="S30" s="125">
        <v>-354.09</v>
      </c>
      <c r="T30" s="125">
        <v>-60.45</v>
      </c>
      <c r="U30" s="125">
        <v>0.0</v>
      </c>
      <c r="V30" s="125">
        <v>0.0</v>
      </c>
    </row>
    <row r="31">
      <c r="A31" s="124" t="s">
        <v>169</v>
      </c>
      <c r="B31" s="125">
        <v>0.0</v>
      </c>
      <c r="C31" s="125">
        <v>0.0</v>
      </c>
      <c r="D31" s="125">
        <v>0.0</v>
      </c>
      <c r="E31" s="125">
        <v>0.0</v>
      </c>
      <c r="F31" s="125">
        <v>0.0</v>
      </c>
      <c r="G31" s="125">
        <v>0.0</v>
      </c>
      <c r="H31" s="125">
        <v>-55.29</v>
      </c>
      <c r="I31" s="125">
        <v>-233.45</v>
      </c>
      <c r="J31" s="125">
        <v>-258.03</v>
      </c>
      <c r="K31" s="125">
        <v>-288.74</v>
      </c>
      <c r="L31" s="125">
        <v>-258.03</v>
      </c>
      <c r="M31" s="125">
        <v>-731.07</v>
      </c>
      <c r="N31" s="125">
        <v>-1191.84</v>
      </c>
      <c r="O31" s="125">
        <v>-577.49</v>
      </c>
      <c r="P31" s="125">
        <v>-399.33</v>
      </c>
      <c r="Q31" s="125">
        <v>-430.04</v>
      </c>
      <c r="R31" s="125">
        <v>-110.58</v>
      </c>
      <c r="S31" s="125">
        <v>-36.86</v>
      </c>
      <c r="T31" s="125">
        <v>0.0</v>
      </c>
      <c r="U31" s="125">
        <v>0.0</v>
      </c>
      <c r="V31" s="125">
        <v>0.0</v>
      </c>
    </row>
    <row r="32">
      <c r="A32" s="124" t="s">
        <v>170</v>
      </c>
      <c r="B32" s="125">
        <v>0.0</v>
      </c>
      <c r="C32" s="125">
        <v>0.0</v>
      </c>
      <c r="D32" s="125">
        <v>0.0</v>
      </c>
      <c r="E32" s="125">
        <v>0.0</v>
      </c>
      <c r="F32" s="125">
        <v>0.0</v>
      </c>
      <c r="G32" s="125">
        <v>0.88</v>
      </c>
      <c r="H32" s="125">
        <v>-371.89</v>
      </c>
      <c r="I32" s="125">
        <v>-464.86</v>
      </c>
      <c r="J32" s="125">
        <v>-759.28</v>
      </c>
      <c r="K32" s="125">
        <v>-1487.57</v>
      </c>
      <c r="L32" s="125">
        <v>-1177.66</v>
      </c>
      <c r="M32" s="125">
        <v>-875.49</v>
      </c>
      <c r="N32" s="125">
        <v>-232.43</v>
      </c>
      <c r="O32" s="125">
        <v>-85.23</v>
      </c>
      <c r="P32" s="125">
        <v>-100.72</v>
      </c>
      <c r="Q32" s="125">
        <v>0.0</v>
      </c>
      <c r="R32" s="125">
        <v>0.0</v>
      </c>
      <c r="S32" s="125">
        <v>0.0</v>
      </c>
      <c r="T32" s="125">
        <v>0.0</v>
      </c>
      <c r="U32" s="125">
        <v>0.0</v>
      </c>
      <c r="V32" s="125">
        <v>0.0</v>
      </c>
    </row>
    <row r="33">
      <c r="A33" s="124" t="s">
        <v>105</v>
      </c>
      <c r="B33" s="125">
        <v>0.02</v>
      </c>
      <c r="C33" s="125">
        <v>0.02</v>
      </c>
      <c r="D33" s="125">
        <v>0.22</v>
      </c>
      <c r="E33" s="125">
        <v>0.7</v>
      </c>
      <c r="F33" s="125">
        <v>0.76</v>
      </c>
      <c r="G33" s="125">
        <v>1.54</v>
      </c>
      <c r="H33" s="125">
        <v>-468.55</v>
      </c>
      <c r="I33" s="125">
        <v>-623.45</v>
      </c>
      <c r="J33" s="125">
        <v>-503.41</v>
      </c>
      <c r="K33" s="125">
        <v>-305.92</v>
      </c>
      <c r="L33" s="125">
        <v>-271.06</v>
      </c>
      <c r="M33" s="125">
        <v>-73.57</v>
      </c>
      <c r="N33" s="125">
        <v>-7.74</v>
      </c>
      <c r="O33" s="125">
        <v>0.0</v>
      </c>
      <c r="P33" s="125">
        <v>0.0</v>
      </c>
      <c r="Q33" s="125">
        <v>0.0</v>
      </c>
      <c r="R33" s="125">
        <v>0.0</v>
      </c>
      <c r="S33" s="125">
        <v>0.0</v>
      </c>
      <c r="T33" s="125">
        <v>0.0</v>
      </c>
      <c r="U33" s="125">
        <v>0.0</v>
      </c>
      <c r="V33" s="125">
        <v>0.0</v>
      </c>
    </row>
    <row r="34">
      <c r="A34" s="124" t="s">
        <v>171</v>
      </c>
      <c r="B34" s="125">
        <v>0.0</v>
      </c>
      <c r="C34" s="125">
        <v>0.35</v>
      </c>
      <c r="D34" s="125">
        <v>0.66</v>
      </c>
      <c r="E34" s="125">
        <v>1.05</v>
      </c>
      <c r="F34" s="125">
        <v>1.37</v>
      </c>
      <c r="G34" s="125">
        <v>2.16</v>
      </c>
      <c r="H34" s="125">
        <v>-884.07</v>
      </c>
      <c r="I34" s="125">
        <v>-281.3</v>
      </c>
      <c r="J34" s="125">
        <v>-120.56</v>
      </c>
      <c r="K34" s="125">
        <v>-111.63</v>
      </c>
      <c r="L34" s="125">
        <v>-75.91</v>
      </c>
      <c r="M34" s="125">
        <v>-8.93</v>
      </c>
      <c r="N34" s="125">
        <v>0.0</v>
      </c>
      <c r="O34" s="125">
        <v>0.0</v>
      </c>
      <c r="P34" s="125">
        <v>0.0</v>
      </c>
      <c r="Q34" s="125">
        <v>0.0</v>
      </c>
      <c r="R34" s="125">
        <v>0.0</v>
      </c>
      <c r="S34" s="125">
        <v>0.0</v>
      </c>
      <c r="T34" s="125">
        <v>0.0</v>
      </c>
      <c r="U34" s="125">
        <v>0.0</v>
      </c>
      <c r="V34" s="125">
        <v>0.0</v>
      </c>
    </row>
    <row r="35">
      <c r="A35" s="124" t="s">
        <v>172</v>
      </c>
      <c r="B35" s="125">
        <v>0.02</v>
      </c>
      <c r="C35" s="125">
        <v>0.26</v>
      </c>
      <c r="D35" s="125">
        <v>1.46</v>
      </c>
      <c r="E35" s="125">
        <v>2.09</v>
      </c>
      <c r="F35" s="125">
        <v>1.83</v>
      </c>
      <c r="G35" s="125">
        <v>3.39</v>
      </c>
      <c r="H35" s="125">
        <v>-307.46</v>
      </c>
      <c r="I35" s="125">
        <v>-162.77</v>
      </c>
      <c r="J35" s="125">
        <v>-68.32</v>
      </c>
      <c r="K35" s="125">
        <v>-34.16</v>
      </c>
      <c r="L35" s="125">
        <v>0.0</v>
      </c>
      <c r="M35" s="125">
        <v>0.0</v>
      </c>
      <c r="N35" s="125">
        <v>0.0</v>
      </c>
      <c r="O35" s="125">
        <v>0.0</v>
      </c>
      <c r="P35" s="125">
        <v>0.0</v>
      </c>
      <c r="Q35" s="125">
        <v>0.0</v>
      </c>
      <c r="R35" s="125">
        <v>0.0</v>
      </c>
      <c r="S35" s="125">
        <v>0.0</v>
      </c>
      <c r="T35" s="125">
        <v>0.0</v>
      </c>
      <c r="U35" s="125">
        <v>0.0</v>
      </c>
      <c r="V35" s="125">
        <v>0.0</v>
      </c>
    </row>
    <row r="36">
      <c r="A36" s="124" t="s">
        <v>173</v>
      </c>
      <c r="B36" s="125">
        <v>0.07</v>
      </c>
      <c r="C36" s="125">
        <v>0.25</v>
      </c>
      <c r="D36" s="125">
        <v>1.44</v>
      </c>
      <c r="E36" s="125">
        <v>3.19</v>
      </c>
      <c r="F36" s="125">
        <v>3.89</v>
      </c>
      <c r="G36" s="125">
        <v>4.31</v>
      </c>
      <c r="H36" s="125">
        <v>-235.84</v>
      </c>
      <c r="I36" s="125">
        <v>-112.3</v>
      </c>
      <c r="J36" s="125">
        <v>-26.54</v>
      </c>
      <c r="K36" s="125">
        <v>-2.04</v>
      </c>
      <c r="L36" s="125">
        <v>0.0</v>
      </c>
      <c r="M36" s="125">
        <v>0.0</v>
      </c>
      <c r="N36" s="125">
        <v>0.0</v>
      </c>
      <c r="O36" s="125">
        <v>0.0</v>
      </c>
      <c r="P36" s="125">
        <v>0.0</v>
      </c>
      <c r="Q36" s="125">
        <v>0.0</v>
      </c>
      <c r="R36" s="125">
        <v>0.0</v>
      </c>
      <c r="S36" s="125">
        <v>0.0</v>
      </c>
      <c r="T36" s="125">
        <v>0.0</v>
      </c>
      <c r="U36" s="125">
        <v>0.0</v>
      </c>
      <c r="V36" s="125">
        <v>0.0</v>
      </c>
    </row>
    <row r="37">
      <c r="A37" s="124" t="s">
        <v>174</v>
      </c>
      <c r="B37" s="125">
        <v>0.0</v>
      </c>
      <c r="C37" s="125">
        <v>0.0</v>
      </c>
      <c r="D37" s="125">
        <v>0.0</v>
      </c>
      <c r="E37" s="125">
        <v>0.66</v>
      </c>
      <c r="F37" s="125">
        <v>1.59</v>
      </c>
      <c r="G37" s="125">
        <v>2.8</v>
      </c>
      <c r="H37" s="125">
        <v>-241.63</v>
      </c>
      <c r="I37" s="125">
        <v>-230.12</v>
      </c>
      <c r="J37" s="125">
        <v>-125.13</v>
      </c>
      <c r="K37" s="125">
        <v>-172.59</v>
      </c>
      <c r="L37" s="125">
        <v>-44.59</v>
      </c>
      <c r="M37" s="125">
        <v>-34.52</v>
      </c>
      <c r="N37" s="125">
        <v>0.0</v>
      </c>
      <c r="O37" s="125">
        <v>0.0</v>
      </c>
      <c r="P37" s="125">
        <v>0.0</v>
      </c>
      <c r="Q37" s="125">
        <v>0.0</v>
      </c>
      <c r="R37" s="125">
        <v>0.0</v>
      </c>
      <c r="S37" s="125">
        <v>0.0</v>
      </c>
      <c r="T37" s="125">
        <v>0.0</v>
      </c>
      <c r="U37" s="125">
        <v>0.0</v>
      </c>
      <c r="V37" s="125">
        <v>0.0</v>
      </c>
    </row>
    <row r="38">
      <c r="A38" s="124" t="s">
        <v>175</v>
      </c>
      <c r="B38" s="125">
        <v>0.0</v>
      </c>
      <c r="C38" s="125">
        <v>0.0</v>
      </c>
      <c r="D38" s="125">
        <v>0.0</v>
      </c>
      <c r="E38" s="125">
        <v>0.0</v>
      </c>
      <c r="F38" s="125">
        <v>0.0</v>
      </c>
      <c r="G38" s="125">
        <v>1.19</v>
      </c>
      <c r="H38" s="125">
        <v>-189.74</v>
      </c>
      <c r="I38" s="125">
        <v>-206.16</v>
      </c>
      <c r="J38" s="125">
        <v>-175.15</v>
      </c>
      <c r="K38" s="125">
        <v>-308.33</v>
      </c>
      <c r="L38" s="125">
        <v>-260.89</v>
      </c>
      <c r="M38" s="125">
        <v>-129.53</v>
      </c>
      <c r="N38" s="125">
        <v>-58.38</v>
      </c>
      <c r="O38" s="125">
        <v>-12.77</v>
      </c>
      <c r="P38" s="125">
        <v>0.0</v>
      </c>
      <c r="Q38" s="125">
        <v>0.0</v>
      </c>
      <c r="R38" s="125">
        <v>0.0</v>
      </c>
      <c r="S38" s="125">
        <v>0.0</v>
      </c>
      <c r="T38" s="125">
        <v>0.0</v>
      </c>
      <c r="U38" s="125">
        <v>0.0</v>
      </c>
      <c r="V38" s="125">
        <v>0.0</v>
      </c>
    </row>
    <row r="39">
      <c r="A39" s="124" t="s">
        <v>176</v>
      </c>
      <c r="B39" s="125">
        <v>0.0</v>
      </c>
      <c r="C39" s="125">
        <v>0.0</v>
      </c>
      <c r="D39" s="125">
        <v>0.0</v>
      </c>
      <c r="E39" s="125">
        <v>0.0</v>
      </c>
      <c r="F39" s="125">
        <v>0.0</v>
      </c>
      <c r="G39" s="125">
        <v>0.0</v>
      </c>
      <c r="H39" s="125">
        <v>-12.81</v>
      </c>
      <c r="I39" s="125">
        <v>-122.98</v>
      </c>
      <c r="J39" s="125">
        <v>-99.92</v>
      </c>
      <c r="K39" s="125">
        <v>-174.23</v>
      </c>
      <c r="L39" s="125">
        <v>-289.52</v>
      </c>
      <c r="M39" s="125">
        <v>-609.79</v>
      </c>
      <c r="N39" s="125">
        <v>-450.94</v>
      </c>
      <c r="O39" s="125">
        <v>-84.55</v>
      </c>
      <c r="P39" s="125">
        <v>0.0</v>
      </c>
      <c r="Q39" s="125">
        <v>0.0</v>
      </c>
      <c r="R39" s="125">
        <v>0.0</v>
      </c>
      <c r="S39" s="125">
        <v>0.0</v>
      </c>
      <c r="T39" s="125">
        <v>0.0</v>
      </c>
      <c r="U39" s="125">
        <v>0.0</v>
      </c>
      <c r="V39" s="125">
        <v>0.0</v>
      </c>
    </row>
    <row r="40">
      <c r="A40" s="124" t="s">
        <v>177</v>
      </c>
      <c r="B40" s="125">
        <v>0.0</v>
      </c>
      <c r="C40" s="125">
        <v>0.0</v>
      </c>
      <c r="D40" s="125">
        <v>0.0</v>
      </c>
      <c r="E40" s="125">
        <v>0.0</v>
      </c>
      <c r="F40" s="125">
        <v>0.0</v>
      </c>
      <c r="G40" s="125">
        <v>0.0</v>
      </c>
      <c r="H40" s="125">
        <v>0.0</v>
      </c>
      <c r="I40" s="125">
        <v>-10.69</v>
      </c>
      <c r="J40" s="125">
        <v>-26.71</v>
      </c>
      <c r="K40" s="125">
        <v>-112.19</v>
      </c>
      <c r="L40" s="125">
        <v>-144.25</v>
      </c>
      <c r="M40" s="125">
        <v>-630.43</v>
      </c>
      <c r="N40" s="125">
        <v>-886.87</v>
      </c>
      <c r="O40" s="125">
        <v>-577.0</v>
      </c>
      <c r="P40" s="125">
        <v>-699.88</v>
      </c>
      <c r="Q40" s="125">
        <v>-678.51</v>
      </c>
      <c r="R40" s="125">
        <v>-165.62</v>
      </c>
      <c r="S40" s="125">
        <v>-42.74</v>
      </c>
      <c r="T40" s="125">
        <v>0.0</v>
      </c>
      <c r="U40" s="125">
        <v>0.0</v>
      </c>
      <c r="V40" s="125">
        <v>0.0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03"/>
      <c r="B1" s="103"/>
      <c r="C1" s="103"/>
      <c r="D1" s="103"/>
      <c r="E1" s="103"/>
      <c r="F1" s="126" t="s">
        <v>188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>
      <c r="A2" s="103"/>
      <c r="B2" s="103"/>
      <c r="C2" s="103"/>
      <c r="D2" s="103"/>
      <c r="E2" s="103"/>
      <c r="F2" s="104">
        <v>1.0</v>
      </c>
      <c r="G2" s="104">
        <v>2.0</v>
      </c>
      <c r="H2" s="104">
        <v>3.0</v>
      </c>
      <c r="I2" s="104">
        <v>4.0</v>
      </c>
      <c r="J2" s="104">
        <v>5.0</v>
      </c>
      <c r="K2" s="104">
        <v>6.0</v>
      </c>
      <c r="L2" s="104">
        <v>7.0</v>
      </c>
      <c r="M2" s="104">
        <v>8.0</v>
      </c>
      <c r="N2" s="104">
        <v>9.0</v>
      </c>
      <c r="O2" s="104">
        <v>10.0</v>
      </c>
      <c r="P2" s="104">
        <v>11.0</v>
      </c>
      <c r="Q2" s="104">
        <v>12.0</v>
      </c>
      <c r="R2" s="103"/>
      <c r="S2" s="103"/>
    </row>
    <row r="3">
      <c r="A3" s="103"/>
      <c r="B3" s="103"/>
      <c r="C3" s="103"/>
      <c r="D3" s="103"/>
      <c r="E3" s="103"/>
      <c r="F3" s="103" t="s">
        <v>167</v>
      </c>
      <c r="G3" s="103" t="s">
        <v>168</v>
      </c>
      <c r="H3" s="103" t="s">
        <v>169</v>
      </c>
      <c r="I3" s="103" t="s">
        <v>170</v>
      </c>
      <c r="J3" s="103" t="s">
        <v>105</v>
      </c>
      <c r="K3" s="103" t="s">
        <v>171</v>
      </c>
      <c r="L3" s="103" t="s">
        <v>172</v>
      </c>
      <c r="M3" s="103" t="s">
        <v>173</v>
      </c>
      <c r="N3" s="103" t="s">
        <v>174</v>
      </c>
      <c r="O3" s="103" t="s">
        <v>175</v>
      </c>
      <c r="P3" s="103" t="s">
        <v>176</v>
      </c>
      <c r="Q3" s="103" t="s">
        <v>177</v>
      </c>
      <c r="R3" s="103" t="s">
        <v>13</v>
      </c>
      <c r="S3" s="103"/>
    </row>
    <row r="4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</row>
    <row r="5">
      <c r="A5" s="103"/>
      <c r="B5" s="103"/>
      <c r="C5" s="103" t="s">
        <v>222</v>
      </c>
      <c r="D5" s="103" t="s">
        <v>223</v>
      </c>
      <c r="E5" s="103" t="s">
        <v>199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27"/>
    </row>
    <row r="6">
      <c r="A6" s="104">
        <v>90.0</v>
      </c>
      <c r="B6" s="104">
        <v>95.0</v>
      </c>
      <c r="C6" s="128">
        <f t="shared" ref="C6:C26" si="1">AVERAGE(A6:B6)</f>
        <v>92.5</v>
      </c>
      <c r="D6" s="104">
        <v>15.8</v>
      </c>
      <c r="E6" s="129">
        <f t="shared" ref="E6:E11" si="2">D6/3.41</f>
        <v>4.633431085</v>
      </c>
      <c r="F6" s="104">
        <v>0.0</v>
      </c>
      <c r="G6" s="104">
        <v>0.0</v>
      </c>
      <c r="H6" s="104">
        <v>0.0</v>
      </c>
      <c r="I6" s="104">
        <v>0.0</v>
      </c>
      <c r="J6" s="104">
        <v>1.0</v>
      </c>
      <c r="K6" s="104">
        <v>0.0</v>
      </c>
      <c r="L6" s="104">
        <v>1.0</v>
      </c>
      <c r="M6" s="104">
        <v>2.0</v>
      </c>
      <c r="N6" s="104">
        <v>0.0</v>
      </c>
      <c r="O6" s="104">
        <v>0.0</v>
      </c>
      <c r="P6" s="104">
        <v>0.0</v>
      </c>
      <c r="Q6" s="104">
        <v>0.0</v>
      </c>
      <c r="R6" s="130">
        <v>4.0</v>
      </c>
      <c r="S6" s="131">
        <v>59.082661290322584</v>
      </c>
    </row>
    <row r="7">
      <c r="A7" s="104">
        <v>85.0</v>
      </c>
      <c r="B7" s="104">
        <v>90.0</v>
      </c>
      <c r="C7" s="128">
        <f t="shared" si="1"/>
        <v>87.5</v>
      </c>
      <c r="D7" s="104">
        <v>15.8</v>
      </c>
      <c r="E7" s="129">
        <f t="shared" si="2"/>
        <v>4.633431085</v>
      </c>
      <c r="F7" s="104">
        <v>0.0</v>
      </c>
      <c r="G7" s="104">
        <v>0.0</v>
      </c>
      <c r="H7" s="104">
        <v>0.0</v>
      </c>
      <c r="I7" s="104">
        <v>0.0</v>
      </c>
      <c r="J7" s="104">
        <v>1.0</v>
      </c>
      <c r="K7" s="104">
        <v>24.0</v>
      </c>
      <c r="L7" s="104">
        <v>13.0</v>
      </c>
      <c r="M7" s="104">
        <v>7.0</v>
      </c>
      <c r="N7" s="104">
        <v>0.0</v>
      </c>
      <c r="O7" s="104">
        <v>0.0</v>
      </c>
      <c r="P7" s="104">
        <v>0.0</v>
      </c>
      <c r="Q7" s="104">
        <v>0.0</v>
      </c>
      <c r="R7" s="130">
        <v>45.0</v>
      </c>
      <c r="S7" s="132">
        <f>AVERAGE(S6,S8)</f>
        <v>58.77688172</v>
      </c>
    </row>
    <row r="8">
      <c r="A8" s="104">
        <v>80.0</v>
      </c>
      <c r="B8" s="104">
        <v>85.0</v>
      </c>
      <c r="C8" s="128">
        <f t="shared" si="1"/>
        <v>82.5</v>
      </c>
      <c r="D8" s="104">
        <v>15.8</v>
      </c>
      <c r="E8" s="129">
        <f t="shared" si="2"/>
        <v>4.633431085</v>
      </c>
      <c r="F8" s="104">
        <v>0.0</v>
      </c>
      <c r="G8" s="104">
        <v>0.0</v>
      </c>
      <c r="H8" s="104">
        <v>0.0</v>
      </c>
      <c r="I8" s="104">
        <v>0.0</v>
      </c>
      <c r="J8" s="104">
        <v>11.0</v>
      </c>
      <c r="K8" s="104">
        <v>46.0</v>
      </c>
      <c r="L8" s="104">
        <v>74.0</v>
      </c>
      <c r="M8" s="104">
        <v>41.0</v>
      </c>
      <c r="N8" s="104">
        <v>0.0</v>
      </c>
      <c r="O8" s="104">
        <v>0.0</v>
      </c>
      <c r="P8" s="104">
        <v>0.0</v>
      </c>
      <c r="Q8" s="104">
        <v>0.0</v>
      </c>
      <c r="R8" s="130">
        <v>172.0</v>
      </c>
      <c r="S8" s="131">
        <v>58.47110215053763</v>
      </c>
    </row>
    <row r="9">
      <c r="A9" s="104">
        <v>75.0</v>
      </c>
      <c r="B9" s="104">
        <v>80.0</v>
      </c>
      <c r="C9" s="128">
        <f t="shared" si="1"/>
        <v>77.5</v>
      </c>
      <c r="D9" s="104">
        <v>15.8</v>
      </c>
      <c r="E9" s="129">
        <f t="shared" si="2"/>
        <v>4.633431085</v>
      </c>
      <c r="F9" s="104">
        <v>0.0</v>
      </c>
      <c r="G9" s="104">
        <v>0.0</v>
      </c>
      <c r="H9" s="104">
        <v>0.0</v>
      </c>
      <c r="I9" s="104">
        <v>0.0</v>
      </c>
      <c r="J9" s="104">
        <v>35.0</v>
      </c>
      <c r="K9" s="104">
        <v>73.0</v>
      </c>
      <c r="L9" s="104">
        <v>106.0</v>
      </c>
      <c r="M9" s="104">
        <v>91.0</v>
      </c>
      <c r="N9" s="104">
        <v>17.0</v>
      </c>
      <c r="O9" s="104">
        <v>0.0</v>
      </c>
      <c r="P9" s="104">
        <v>0.0</v>
      </c>
      <c r="Q9" s="104">
        <v>0.0</v>
      </c>
      <c r="R9" s="130">
        <v>322.0</v>
      </c>
      <c r="S9" s="132">
        <f>AVERAGE(S8,S10)</f>
        <v>58.39006496</v>
      </c>
    </row>
    <row r="10">
      <c r="A10" s="104">
        <v>70.0</v>
      </c>
      <c r="B10" s="104">
        <v>75.0</v>
      </c>
      <c r="C10" s="128">
        <f t="shared" si="1"/>
        <v>72.5</v>
      </c>
      <c r="D10" s="104">
        <v>15.8</v>
      </c>
      <c r="E10" s="129">
        <f t="shared" si="2"/>
        <v>4.633431085</v>
      </c>
      <c r="F10" s="104">
        <v>0.0</v>
      </c>
      <c r="G10" s="104">
        <v>0.0</v>
      </c>
      <c r="H10" s="104">
        <v>0.0</v>
      </c>
      <c r="I10" s="104">
        <v>0.0</v>
      </c>
      <c r="J10" s="104">
        <v>38.0</v>
      </c>
      <c r="K10" s="104">
        <v>95.0</v>
      </c>
      <c r="L10" s="104">
        <v>93.0</v>
      </c>
      <c r="M10" s="104">
        <v>111.0</v>
      </c>
      <c r="N10" s="104">
        <v>41.0</v>
      </c>
      <c r="O10" s="104">
        <v>0.0</v>
      </c>
      <c r="P10" s="104">
        <v>0.0</v>
      </c>
      <c r="Q10" s="104">
        <v>0.0</v>
      </c>
      <c r="R10" s="130">
        <v>378.0</v>
      </c>
      <c r="S10" s="131">
        <v>58.30902777777778</v>
      </c>
    </row>
    <row r="11">
      <c r="A11" s="104">
        <v>65.0</v>
      </c>
      <c r="B11" s="104">
        <v>70.0</v>
      </c>
      <c r="C11" s="128">
        <f t="shared" si="1"/>
        <v>67.5</v>
      </c>
      <c r="D11" s="104">
        <v>15.8</v>
      </c>
      <c r="E11" s="129">
        <f t="shared" si="2"/>
        <v>4.633431085</v>
      </c>
      <c r="F11" s="104">
        <v>0.0</v>
      </c>
      <c r="G11" s="104">
        <v>0.0</v>
      </c>
      <c r="H11" s="104">
        <v>0.0</v>
      </c>
      <c r="I11" s="104">
        <v>3.0</v>
      </c>
      <c r="J11" s="104">
        <v>77.0</v>
      </c>
      <c r="K11" s="104">
        <v>150.0</v>
      </c>
      <c r="L11" s="104">
        <v>172.0</v>
      </c>
      <c r="M11" s="104">
        <v>123.0</v>
      </c>
      <c r="N11" s="104">
        <v>72.0</v>
      </c>
      <c r="O11" s="104">
        <v>9.0</v>
      </c>
      <c r="P11" s="104">
        <v>0.0</v>
      </c>
      <c r="Q11" s="104">
        <v>0.0</v>
      </c>
      <c r="R11" s="130">
        <v>606.0</v>
      </c>
      <c r="S11" s="132">
        <f>AVERAGE(S10,S12)</f>
        <v>56.05132597</v>
      </c>
    </row>
    <row r="12">
      <c r="A12" s="104">
        <v>60.0</v>
      </c>
      <c r="B12" s="104">
        <v>65.0</v>
      </c>
      <c r="C12" s="128">
        <f t="shared" si="1"/>
        <v>62.5</v>
      </c>
      <c r="D12" s="103"/>
      <c r="E12" s="128">
        <v>4.0</v>
      </c>
      <c r="F12" s="104">
        <v>0.0</v>
      </c>
      <c r="G12" s="104">
        <v>0.0</v>
      </c>
      <c r="H12" s="104">
        <v>9.0</v>
      </c>
      <c r="I12" s="104">
        <v>48.0</v>
      </c>
      <c r="J12" s="104">
        <v>121.0</v>
      </c>
      <c r="K12" s="104">
        <v>198.0</v>
      </c>
      <c r="L12" s="104">
        <v>153.0</v>
      </c>
      <c r="M12" s="104">
        <v>231.0</v>
      </c>
      <c r="N12" s="104">
        <v>168.0</v>
      </c>
      <c r="O12" s="104">
        <v>104.0</v>
      </c>
      <c r="P12" s="104">
        <v>5.0</v>
      </c>
      <c r="Q12" s="104">
        <v>0.0</v>
      </c>
      <c r="R12" s="130">
        <v>1037.0</v>
      </c>
      <c r="S12" s="131">
        <v>53.79362416107382</v>
      </c>
    </row>
    <row r="13">
      <c r="A13" s="104">
        <v>55.0</v>
      </c>
      <c r="B13" s="104">
        <v>60.0</v>
      </c>
      <c r="C13" s="128">
        <f t="shared" si="1"/>
        <v>57.5</v>
      </c>
      <c r="D13" s="103"/>
      <c r="E13" s="128">
        <v>4.0</v>
      </c>
      <c r="F13" s="104">
        <v>0.0</v>
      </c>
      <c r="G13" s="104">
        <v>0.0</v>
      </c>
      <c r="H13" s="104">
        <v>38.0</v>
      </c>
      <c r="I13" s="104">
        <v>60.0</v>
      </c>
      <c r="J13" s="104">
        <v>161.0</v>
      </c>
      <c r="K13" s="104">
        <v>63.0</v>
      </c>
      <c r="L13" s="104">
        <v>81.0</v>
      </c>
      <c r="M13" s="104">
        <v>110.0</v>
      </c>
      <c r="N13" s="104">
        <v>160.0</v>
      </c>
      <c r="O13" s="104">
        <v>113.0</v>
      </c>
      <c r="P13" s="104">
        <v>48.0</v>
      </c>
      <c r="Q13" s="104">
        <v>2.0</v>
      </c>
      <c r="R13" s="130">
        <v>836.0</v>
      </c>
      <c r="S13" s="132">
        <f>AVERAGE(S12,S14)</f>
        <v>53.74924264</v>
      </c>
    </row>
    <row r="14">
      <c r="A14" s="104">
        <v>50.0</v>
      </c>
      <c r="B14" s="104">
        <v>55.0</v>
      </c>
      <c r="C14" s="128">
        <f t="shared" si="1"/>
        <v>52.5</v>
      </c>
      <c r="D14" s="103"/>
      <c r="E14" s="128">
        <v>3.98</v>
      </c>
      <c r="F14" s="104">
        <v>0.0</v>
      </c>
      <c r="G14" s="104">
        <v>0.0</v>
      </c>
      <c r="H14" s="104">
        <v>42.0</v>
      </c>
      <c r="I14" s="104">
        <v>98.0</v>
      </c>
      <c r="J14" s="104">
        <v>130.0</v>
      </c>
      <c r="K14" s="104">
        <v>27.0</v>
      </c>
      <c r="L14" s="104">
        <v>34.0</v>
      </c>
      <c r="M14" s="104">
        <v>26.0</v>
      </c>
      <c r="N14" s="104">
        <v>87.0</v>
      </c>
      <c r="O14" s="104">
        <v>96.0</v>
      </c>
      <c r="P14" s="104">
        <v>39.0</v>
      </c>
      <c r="Q14" s="104">
        <v>5.0</v>
      </c>
      <c r="R14" s="130">
        <v>584.0</v>
      </c>
      <c r="S14" s="131">
        <v>53.704861111111114</v>
      </c>
    </row>
    <row r="15">
      <c r="A15" s="104">
        <v>45.0</v>
      </c>
      <c r="B15" s="104">
        <v>50.0</v>
      </c>
      <c r="C15" s="128">
        <f t="shared" si="1"/>
        <v>47.5</v>
      </c>
      <c r="D15" s="103"/>
      <c r="E15" s="128">
        <v>3.98</v>
      </c>
      <c r="F15" s="104">
        <v>43.0</v>
      </c>
      <c r="G15" s="104">
        <v>1.0</v>
      </c>
      <c r="H15" s="104">
        <v>47.0</v>
      </c>
      <c r="I15" s="104">
        <v>192.0</v>
      </c>
      <c r="J15" s="104">
        <v>79.0</v>
      </c>
      <c r="K15" s="104">
        <v>25.0</v>
      </c>
      <c r="L15" s="104">
        <v>17.0</v>
      </c>
      <c r="M15" s="104">
        <v>2.0</v>
      </c>
      <c r="N15" s="104">
        <v>120.0</v>
      </c>
      <c r="O15" s="104">
        <v>169.0</v>
      </c>
      <c r="P15" s="104">
        <v>68.0</v>
      </c>
      <c r="Q15" s="104">
        <v>21.0</v>
      </c>
      <c r="R15" s="130">
        <v>784.0</v>
      </c>
      <c r="S15" s="132">
        <f>AVERAGE(S14,S16)</f>
        <v>51.66593862</v>
      </c>
    </row>
    <row r="16">
      <c r="A16" s="104">
        <v>40.0</v>
      </c>
      <c r="B16" s="104">
        <v>45.0</v>
      </c>
      <c r="C16" s="128">
        <f t="shared" si="1"/>
        <v>42.5</v>
      </c>
      <c r="D16" s="103"/>
      <c r="E16" s="128">
        <v>3.95</v>
      </c>
      <c r="F16" s="104">
        <v>37.0</v>
      </c>
      <c r="G16" s="104">
        <v>26.0</v>
      </c>
      <c r="H16" s="104">
        <v>42.0</v>
      </c>
      <c r="I16" s="104">
        <v>152.0</v>
      </c>
      <c r="J16" s="104">
        <v>70.0</v>
      </c>
      <c r="K16" s="104">
        <v>17.0</v>
      </c>
      <c r="L16" s="104">
        <v>0.0</v>
      </c>
      <c r="M16" s="104">
        <v>0.0</v>
      </c>
      <c r="N16" s="104">
        <v>31.0</v>
      </c>
      <c r="O16" s="104">
        <v>143.0</v>
      </c>
      <c r="P16" s="104">
        <v>113.0</v>
      </c>
      <c r="Q16" s="104">
        <v>27.0</v>
      </c>
      <c r="R16" s="130">
        <v>658.0</v>
      </c>
      <c r="S16" s="131">
        <v>49.627016129032256</v>
      </c>
    </row>
    <row r="17">
      <c r="A17" s="104">
        <v>35.0</v>
      </c>
      <c r="B17" s="104">
        <v>40.0</v>
      </c>
      <c r="C17" s="128">
        <f t="shared" si="1"/>
        <v>37.5</v>
      </c>
      <c r="D17" s="103"/>
      <c r="E17" s="128">
        <v>3.74</v>
      </c>
      <c r="F17" s="104">
        <v>52.0</v>
      </c>
      <c r="G17" s="104">
        <v>35.0</v>
      </c>
      <c r="H17" s="104">
        <v>119.0</v>
      </c>
      <c r="I17" s="104">
        <v>113.0</v>
      </c>
      <c r="J17" s="104">
        <v>19.0</v>
      </c>
      <c r="K17" s="104">
        <v>2.0</v>
      </c>
      <c r="L17" s="104">
        <v>0.0</v>
      </c>
      <c r="M17" s="104">
        <v>0.0</v>
      </c>
      <c r="N17" s="104">
        <v>24.0</v>
      </c>
      <c r="O17" s="104">
        <v>71.0</v>
      </c>
      <c r="P17" s="104">
        <v>238.0</v>
      </c>
      <c r="Q17" s="104">
        <v>118.0</v>
      </c>
      <c r="R17" s="130">
        <v>791.0</v>
      </c>
      <c r="S17" s="132">
        <f>AVERAGE(S16,S18)</f>
        <v>48.83607751</v>
      </c>
    </row>
    <row r="18">
      <c r="A18" s="104">
        <v>30.0</v>
      </c>
      <c r="B18" s="104">
        <v>35.0</v>
      </c>
      <c r="C18" s="128">
        <f t="shared" si="1"/>
        <v>32.5</v>
      </c>
      <c r="D18" s="103"/>
      <c r="E18" s="128">
        <v>3.72</v>
      </c>
      <c r="F18" s="104">
        <v>114.0</v>
      </c>
      <c r="G18" s="104">
        <v>129.0</v>
      </c>
      <c r="H18" s="104">
        <v>194.0</v>
      </c>
      <c r="I18" s="104">
        <v>30.0</v>
      </c>
      <c r="J18" s="104">
        <v>2.0</v>
      </c>
      <c r="K18" s="104">
        <v>0.0</v>
      </c>
      <c r="L18" s="104">
        <v>0.0</v>
      </c>
      <c r="M18" s="104">
        <v>0.0</v>
      </c>
      <c r="N18" s="104">
        <v>0.0</v>
      </c>
      <c r="O18" s="104">
        <v>32.0</v>
      </c>
      <c r="P18" s="104">
        <v>176.0</v>
      </c>
      <c r="Q18" s="104">
        <v>166.0</v>
      </c>
      <c r="R18" s="130">
        <v>843.0</v>
      </c>
      <c r="S18" s="131">
        <v>48.045138888888886</v>
      </c>
    </row>
    <row r="19">
      <c r="A19" s="104">
        <v>25.0</v>
      </c>
      <c r="B19" s="104">
        <v>30.0</v>
      </c>
      <c r="C19" s="128">
        <f t="shared" si="1"/>
        <v>27.5</v>
      </c>
      <c r="D19" s="103"/>
      <c r="E19" s="128">
        <v>3.74</v>
      </c>
      <c r="F19" s="104">
        <v>76.0</v>
      </c>
      <c r="G19" s="104">
        <v>130.0</v>
      </c>
      <c r="H19" s="104">
        <v>94.0</v>
      </c>
      <c r="I19" s="104">
        <v>11.0</v>
      </c>
      <c r="J19" s="104">
        <v>0.0</v>
      </c>
      <c r="K19" s="104">
        <v>0.0</v>
      </c>
      <c r="L19" s="104">
        <v>0.0</v>
      </c>
      <c r="M19" s="104">
        <v>0.0</v>
      </c>
      <c r="N19" s="104">
        <v>0.0</v>
      </c>
      <c r="O19" s="104">
        <v>7.0</v>
      </c>
      <c r="P19" s="104">
        <v>33.0</v>
      </c>
      <c r="Q19" s="104">
        <v>108.0</v>
      </c>
      <c r="R19" s="130">
        <v>459.0</v>
      </c>
      <c r="S19" s="132">
        <f>AVERAGE(S18,S20)</f>
        <v>46.48958333</v>
      </c>
    </row>
    <row r="20">
      <c r="A20" s="104">
        <v>20.0</v>
      </c>
      <c r="B20" s="104">
        <v>25.0</v>
      </c>
      <c r="C20" s="128">
        <f t="shared" si="1"/>
        <v>22.5</v>
      </c>
      <c r="D20" s="103"/>
      <c r="E20" s="128">
        <v>3.74</v>
      </c>
      <c r="F20" s="104">
        <v>138.0</v>
      </c>
      <c r="G20" s="104">
        <v>112.0</v>
      </c>
      <c r="H20" s="104">
        <v>65.0</v>
      </c>
      <c r="I20" s="104">
        <v>13.0</v>
      </c>
      <c r="J20" s="104">
        <v>0.0</v>
      </c>
      <c r="K20" s="104">
        <v>0.0</v>
      </c>
      <c r="L20" s="104">
        <v>0.0</v>
      </c>
      <c r="M20" s="104">
        <v>0.0</v>
      </c>
      <c r="N20" s="104">
        <v>0.0</v>
      </c>
      <c r="O20" s="104">
        <v>0.0</v>
      </c>
      <c r="P20" s="104">
        <v>0.0</v>
      </c>
      <c r="Q20" s="104">
        <v>131.0</v>
      </c>
      <c r="R20" s="130">
        <v>459.0</v>
      </c>
      <c r="S20" s="131">
        <v>44.93402777777778</v>
      </c>
    </row>
    <row r="21">
      <c r="A21" s="104">
        <v>15.0</v>
      </c>
      <c r="B21" s="104">
        <v>20.0</v>
      </c>
      <c r="C21" s="128">
        <f t="shared" si="1"/>
        <v>17.5</v>
      </c>
      <c r="D21" s="103"/>
      <c r="E21" s="128">
        <v>3.74</v>
      </c>
      <c r="F21" s="104">
        <v>79.0</v>
      </c>
      <c r="G21" s="104">
        <v>134.0</v>
      </c>
      <c r="H21" s="104">
        <v>70.0</v>
      </c>
      <c r="I21" s="104">
        <v>0.0</v>
      </c>
      <c r="J21" s="104">
        <v>0.0</v>
      </c>
      <c r="K21" s="104">
        <v>0.0</v>
      </c>
      <c r="L21" s="104">
        <v>0.0</v>
      </c>
      <c r="M21" s="104">
        <v>0.0</v>
      </c>
      <c r="N21" s="104">
        <v>0.0</v>
      </c>
      <c r="O21" s="104">
        <v>0.0</v>
      </c>
      <c r="P21" s="104">
        <v>0.0</v>
      </c>
      <c r="Q21" s="104">
        <v>127.0</v>
      </c>
      <c r="R21" s="130">
        <v>410.0</v>
      </c>
      <c r="S21" s="132">
        <f>AVERAGE(S20,S22)</f>
        <v>43.46163754</v>
      </c>
    </row>
    <row r="22">
      <c r="A22" s="104">
        <v>10.0</v>
      </c>
      <c r="B22" s="104">
        <v>15.0</v>
      </c>
      <c r="C22" s="128">
        <f t="shared" si="1"/>
        <v>12.5</v>
      </c>
      <c r="D22" s="103"/>
      <c r="E22" s="128">
        <v>3.74</v>
      </c>
      <c r="F22" s="104">
        <v>79.0</v>
      </c>
      <c r="G22" s="104">
        <v>57.0</v>
      </c>
      <c r="H22" s="104">
        <v>18.0</v>
      </c>
      <c r="I22" s="104">
        <v>0.0</v>
      </c>
      <c r="J22" s="104">
        <v>0.0</v>
      </c>
      <c r="K22" s="104">
        <v>0.0</v>
      </c>
      <c r="L22" s="104">
        <v>0.0</v>
      </c>
      <c r="M22" s="104">
        <v>0.0</v>
      </c>
      <c r="N22" s="104">
        <v>0.0</v>
      </c>
      <c r="O22" s="104">
        <v>0.0</v>
      </c>
      <c r="P22" s="104">
        <v>0.0</v>
      </c>
      <c r="Q22" s="104">
        <v>31.0</v>
      </c>
      <c r="R22" s="130">
        <v>185.0</v>
      </c>
      <c r="S22" s="131">
        <v>41.98924731182795</v>
      </c>
    </row>
    <row r="23">
      <c r="A23" s="104">
        <v>5.0</v>
      </c>
      <c r="B23" s="104">
        <v>10.0</v>
      </c>
      <c r="C23" s="128">
        <f t="shared" si="1"/>
        <v>7.5</v>
      </c>
      <c r="D23" s="103"/>
      <c r="E23" s="128">
        <v>3.36</v>
      </c>
      <c r="F23" s="104">
        <v>58.0</v>
      </c>
      <c r="G23" s="104">
        <v>41.0</v>
      </c>
      <c r="H23" s="104">
        <v>6.0</v>
      </c>
      <c r="I23" s="104">
        <v>0.0</v>
      </c>
      <c r="J23" s="104">
        <v>0.0</v>
      </c>
      <c r="K23" s="104">
        <v>0.0</v>
      </c>
      <c r="L23" s="104">
        <v>0.0</v>
      </c>
      <c r="M23" s="104">
        <v>0.0</v>
      </c>
      <c r="N23" s="104">
        <v>0.0</v>
      </c>
      <c r="O23" s="104">
        <v>0.0</v>
      </c>
      <c r="P23" s="104">
        <v>0.0</v>
      </c>
      <c r="Q23" s="104">
        <v>8.0</v>
      </c>
      <c r="R23" s="130">
        <v>113.0</v>
      </c>
      <c r="S23" s="132">
        <f>AVERAGE(S22,S24)</f>
        <v>40.52755376</v>
      </c>
    </row>
    <row r="24">
      <c r="A24" s="104">
        <v>0.0</v>
      </c>
      <c r="B24" s="104">
        <v>5.0</v>
      </c>
      <c r="C24" s="128">
        <f t="shared" si="1"/>
        <v>2.5</v>
      </c>
      <c r="D24" s="103"/>
      <c r="E24" s="128">
        <v>3.36</v>
      </c>
      <c r="F24" s="104">
        <v>43.0</v>
      </c>
      <c r="G24" s="104">
        <v>7.0</v>
      </c>
      <c r="H24" s="104">
        <v>0.0</v>
      </c>
      <c r="I24" s="104">
        <v>0.0</v>
      </c>
      <c r="J24" s="104">
        <v>0.0</v>
      </c>
      <c r="K24" s="104">
        <v>0.0</v>
      </c>
      <c r="L24" s="104">
        <v>0.0</v>
      </c>
      <c r="M24" s="104">
        <v>0.0</v>
      </c>
      <c r="N24" s="104">
        <v>0.0</v>
      </c>
      <c r="O24" s="104">
        <v>0.0</v>
      </c>
      <c r="P24" s="104">
        <v>0.0</v>
      </c>
      <c r="Q24" s="104">
        <v>0.0</v>
      </c>
      <c r="R24" s="130">
        <v>50.0</v>
      </c>
      <c r="S24" s="131">
        <v>39.06586021505376</v>
      </c>
    </row>
    <row r="25">
      <c r="A25" s="104">
        <v>-5.0</v>
      </c>
      <c r="B25" s="104">
        <v>0.0</v>
      </c>
      <c r="C25" s="128">
        <f t="shared" si="1"/>
        <v>-2.5</v>
      </c>
      <c r="D25" s="103"/>
      <c r="E25" s="128">
        <v>3.36</v>
      </c>
      <c r="F25" s="104">
        <v>19.0</v>
      </c>
      <c r="G25" s="104">
        <v>0.0</v>
      </c>
      <c r="H25" s="104">
        <v>0.0</v>
      </c>
      <c r="I25" s="104">
        <v>0.0</v>
      </c>
      <c r="J25" s="104">
        <v>0.0</v>
      </c>
      <c r="K25" s="104">
        <v>0.0</v>
      </c>
      <c r="L25" s="104">
        <v>0.0</v>
      </c>
      <c r="M25" s="104">
        <v>0.0</v>
      </c>
      <c r="N25" s="104">
        <v>0.0</v>
      </c>
      <c r="O25" s="104">
        <v>0.0</v>
      </c>
      <c r="P25" s="104">
        <v>0.0</v>
      </c>
      <c r="Q25" s="104">
        <v>0.0</v>
      </c>
      <c r="R25" s="130">
        <v>19.0</v>
      </c>
      <c r="S25" s="131">
        <v>37.005208333333336</v>
      </c>
    </row>
    <row r="26">
      <c r="A26" s="104">
        <v>-10.0</v>
      </c>
      <c r="B26" s="104">
        <v>-5.0</v>
      </c>
      <c r="C26" s="128">
        <f t="shared" si="1"/>
        <v>-7.5</v>
      </c>
      <c r="D26" s="103"/>
      <c r="E26" s="128">
        <v>3.36</v>
      </c>
      <c r="F26" s="104">
        <v>6.0</v>
      </c>
      <c r="G26" s="104">
        <v>0.0</v>
      </c>
      <c r="H26" s="104">
        <v>0.0</v>
      </c>
      <c r="I26" s="104">
        <v>0.0</v>
      </c>
      <c r="J26" s="104">
        <v>0.0</v>
      </c>
      <c r="K26" s="104">
        <v>0.0</v>
      </c>
      <c r="L26" s="104">
        <v>0.0</v>
      </c>
      <c r="M26" s="104">
        <v>0.0</v>
      </c>
      <c r="N26" s="104">
        <v>0.0</v>
      </c>
      <c r="O26" s="104">
        <v>0.0</v>
      </c>
      <c r="P26" s="104">
        <v>0.0</v>
      </c>
      <c r="Q26" s="104">
        <v>0.0</v>
      </c>
      <c r="R26" s="130">
        <v>6.0</v>
      </c>
      <c r="S26" s="131">
        <v>36.616263440860216</v>
      </c>
    </row>
    <row r="27">
      <c r="A27" s="103"/>
      <c r="B27" s="103"/>
      <c r="C27" s="103"/>
      <c r="D27" s="103"/>
      <c r="E27" s="103" t="s">
        <v>224</v>
      </c>
      <c r="F27" s="104">
        <f t="shared" ref="F27:Q27" si="3">SUMPRODUCT($C6:$C26, F6:F26)/SUM(F6:F26)</f>
        <v>23.23252688</v>
      </c>
      <c r="G27" s="104">
        <f t="shared" si="3"/>
        <v>24.01041667</v>
      </c>
      <c r="H27" s="104">
        <f t="shared" si="3"/>
        <v>33.97849462</v>
      </c>
      <c r="I27" s="104">
        <f t="shared" si="3"/>
        <v>46.09027778</v>
      </c>
      <c r="J27" s="104">
        <f t="shared" si="3"/>
        <v>57.58724832</v>
      </c>
      <c r="K27" s="104">
        <f t="shared" si="3"/>
        <v>66.61805556</v>
      </c>
      <c r="L27" s="104">
        <f t="shared" si="3"/>
        <v>68.16532258</v>
      </c>
      <c r="M27" s="104">
        <f t="shared" si="3"/>
        <v>66.9422043</v>
      </c>
      <c r="N27" s="104">
        <f t="shared" si="3"/>
        <v>57.40972222</v>
      </c>
      <c r="O27" s="104">
        <f t="shared" si="3"/>
        <v>49.25403226</v>
      </c>
      <c r="P27" s="104">
        <f t="shared" si="3"/>
        <v>39.86805556</v>
      </c>
      <c r="Q27" s="104">
        <f t="shared" si="3"/>
        <v>28.13172043</v>
      </c>
      <c r="R27" s="127"/>
      <c r="S27" s="133"/>
    </row>
    <row r="28">
      <c r="A28" s="103"/>
      <c r="B28" s="103"/>
      <c r="C28" s="103"/>
      <c r="D28" s="103"/>
      <c r="E28" s="103" t="s">
        <v>225</v>
      </c>
      <c r="F28" s="104">
        <f t="shared" ref="F28:Q28" si="4">SQRT(SUMPRODUCT(($C6:$C26-F27)^2,F6:F26)/SUM(F6:F26,-1))</f>
        <v>12.90172883</v>
      </c>
      <c r="G28" s="104">
        <f t="shared" si="4"/>
        <v>9.01992554</v>
      </c>
      <c r="H28" s="104">
        <f t="shared" si="4"/>
        <v>11.6200305</v>
      </c>
      <c r="I28" s="104">
        <f t="shared" si="4"/>
        <v>8.617520396</v>
      </c>
      <c r="J28" s="104">
        <f t="shared" si="4"/>
        <v>10.24034615</v>
      </c>
      <c r="K28" s="104">
        <f t="shared" si="4"/>
        <v>9.783111479</v>
      </c>
      <c r="L28" s="104">
        <f t="shared" si="4"/>
        <v>9.09392187</v>
      </c>
      <c r="M28" s="104">
        <f t="shared" si="4"/>
        <v>8.066306206</v>
      </c>
      <c r="N28" s="104">
        <f t="shared" si="4"/>
        <v>8.994599828</v>
      </c>
      <c r="O28" s="104">
        <f t="shared" si="4"/>
        <v>8.917597035</v>
      </c>
      <c r="P28" s="104">
        <f t="shared" si="4"/>
        <v>7.857162362</v>
      </c>
      <c r="Q28" s="104">
        <f t="shared" si="4"/>
        <v>9.07595372</v>
      </c>
      <c r="R28" s="103"/>
      <c r="S28" s="103"/>
    </row>
    <row r="29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</row>
    <row r="30">
      <c r="A30" s="103"/>
      <c r="B30" s="103"/>
      <c r="C30" s="103"/>
      <c r="D30" s="103"/>
      <c r="E30" s="134" t="s">
        <v>226</v>
      </c>
      <c r="F30" s="104">
        <f t="shared" ref="F30:Q30" si="5">(F27+60)/2</f>
        <v>41.61626344</v>
      </c>
      <c r="G30" s="104">
        <f t="shared" si="5"/>
        <v>42.00520833</v>
      </c>
      <c r="H30" s="104">
        <f t="shared" si="5"/>
        <v>46.98924731</v>
      </c>
      <c r="I30" s="104">
        <f t="shared" si="5"/>
        <v>53.04513889</v>
      </c>
      <c r="J30" s="104">
        <f t="shared" si="5"/>
        <v>58.79362416</v>
      </c>
      <c r="K30" s="104">
        <f t="shared" si="5"/>
        <v>63.30902778</v>
      </c>
      <c r="L30" s="104">
        <f t="shared" si="5"/>
        <v>64.08266129</v>
      </c>
      <c r="M30" s="104">
        <f t="shared" si="5"/>
        <v>63.47110215</v>
      </c>
      <c r="N30" s="104">
        <f t="shared" si="5"/>
        <v>58.70486111</v>
      </c>
      <c r="O30" s="104">
        <f t="shared" si="5"/>
        <v>54.62701613</v>
      </c>
      <c r="P30" s="104">
        <f t="shared" si="5"/>
        <v>49.93402778</v>
      </c>
      <c r="Q30" s="104">
        <f t="shared" si="5"/>
        <v>44.06586022</v>
      </c>
      <c r="R30" s="103"/>
      <c r="S30" s="103"/>
    </row>
    <row r="31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</row>
    <row r="32">
      <c r="A32" s="126" t="s">
        <v>227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03"/>
      <c r="P32" s="103"/>
      <c r="Q32" s="103"/>
      <c r="R32" s="103"/>
      <c r="S32" s="103"/>
    </row>
    <row r="33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</row>
    <row r="34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</row>
    <row r="3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</row>
    <row r="36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</row>
    <row r="37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</row>
    <row r="38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</row>
    <row r="39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</row>
    <row r="40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</row>
    <row r="41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</row>
    <row r="4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</row>
    <row r="43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</row>
    <row r="44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</row>
    <row r="4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</row>
    <row r="46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</row>
    <row r="47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</row>
    <row r="48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</row>
    <row r="57">
      <c r="E57" s="1" t="s">
        <v>199</v>
      </c>
    </row>
    <row r="58">
      <c r="D58" s="1" t="str">
        <f>A6"-"</f>
        <v>#ERROR!</v>
      </c>
      <c r="E58" s="1">
        <v>4.633431085043989</v>
      </c>
    </row>
    <row r="59">
      <c r="E59" s="1">
        <v>4.633431085043989</v>
      </c>
    </row>
    <row r="60">
      <c r="E60" s="1">
        <v>4.633431085043989</v>
      </c>
    </row>
    <row r="61">
      <c r="E61" s="1">
        <v>4.633431085043989</v>
      </c>
    </row>
    <row r="62">
      <c r="E62" s="1">
        <v>4.633431085043989</v>
      </c>
    </row>
    <row r="63">
      <c r="E63" s="1">
        <v>4.633431085043989</v>
      </c>
    </row>
    <row r="64">
      <c r="E64" s="1">
        <v>4.0</v>
      </c>
    </row>
    <row r="65">
      <c r="E65" s="1">
        <v>4.0</v>
      </c>
    </row>
    <row r="66">
      <c r="E66" s="1">
        <v>3.98</v>
      </c>
    </row>
    <row r="67">
      <c r="E67" s="1">
        <v>3.98</v>
      </c>
    </row>
    <row r="68">
      <c r="E68" s="1">
        <v>3.95</v>
      </c>
    </row>
    <row r="69">
      <c r="E69" s="1">
        <v>3.74</v>
      </c>
    </row>
    <row r="70">
      <c r="E70" s="1">
        <v>3.72</v>
      </c>
    </row>
    <row r="71">
      <c r="E71" s="1">
        <v>3.74</v>
      </c>
    </row>
    <row r="72">
      <c r="E72" s="1">
        <v>3.74</v>
      </c>
    </row>
    <row r="73">
      <c r="E73" s="1">
        <v>3.74</v>
      </c>
    </row>
    <row r="74">
      <c r="E74" s="1">
        <v>3.74</v>
      </c>
    </row>
    <row r="75">
      <c r="E75" s="1">
        <v>3.36</v>
      </c>
    </row>
    <row r="76">
      <c r="E76" s="1">
        <v>3.36</v>
      </c>
    </row>
    <row r="77">
      <c r="E77" s="1">
        <v>3.36</v>
      </c>
    </row>
    <row r="78">
      <c r="E78" s="1">
        <v>3.36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2021-02-22T17:36:22Z</dcterms:created>
  <dc:creator>Windows User</dc:creator>
</cp:coreProperties>
</file>